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20-2021\AUGUST 2020\"/>
    </mc:Choice>
  </mc:AlternateContent>
  <workbookProtection workbookPassword="FB84" lockStructure="1"/>
  <bookViews>
    <workbookView xWindow="0" yWindow="0" windowWidth="28800" windowHeight="12330" tabRatio="792" firstSheet="7" activeTab="2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73" i="268" l="1"/>
  <c r="H72" i="268"/>
  <c r="H69" i="268"/>
  <c r="H68" i="268"/>
  <c r="H67" i="268"/>
  <c r="H66" i="268"/>
  <c r="H62" i="268"/>
  <c r="H61" i="268"/>
  <c r="H60" i="268"/>
  <c r="H59" i="268"/>
  <c r="H58" i="268"/>
  <c r="H56" i="268"/>
  <c r="H55" i="268"/>
  <c r="H54" i="268"/>
  <c r="H52" i="268"/>
  <c r="H51" i="268"/>
  <c r="H50" i="268"/>
  <c r="H49" i="268"/>
  <c r="H48" i="268"/>
  <c r="H46" i="268"/>
  <c r="H45" i="268"/>
  <c r="H44" i="268"/>
  <c r="H158" i="335" l="1"/>
  <c r="H152" i="335"/>
  <c r="H149" i="335"/>
  <c r="H108"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9" i="333"/>
  <c r="H105" i="325"/>
  <c r="H93" i="325"/>
  <c r="H90" i="325"/>
  <c r="H88" i="325"/>
  <c r="H86" i="325"/>
  <c r="H80" i="325"/>
  <c r="H77" i="325"/>
  <c r="H46" i="325"/>
  <c r="H41" i="325"/>
  <c r="H34" i="325"/>
  <c r="H18" i="325"/>
  <c r="H9" i="325"/>
  <c r="H155" i="326"/>
  <c r="H152" i="326"/>
  <c r="H46" i="326"/>
  <c r="H9" i="326"/>
  <c r="H8" i="326" s="1"/>
  <c r="H161" i="242"/>
  <c r="H155" i="242"/>
  <c r="H152" i="242"/>
  <c r="H151" i="242" s="1"/>
  <c r="I151" i="242" s="1"/>
  <c r="J151" i="242" s="1"/>
  <c r="H149" i="242"/>
  <c r="H144" i="242"/>
  <c r="I144" i="242" s="1"/>
  <c r="J144" i="242" s="1"/>
  <c r="H119" i="242"/>
  <c r="H108" i="242"/>
  <c r="H88" i="242"/>
  <c r="I88" i="242" s="1"/>
  <c r="J88" i="242" s="1"/>
  <c r="H84" i="242"/>
  <c r="I84" i="242" s="1"/>
  <c r="J84" i="242" s="1"/>
  <c r="H77" i="242"/>
  <c r="H40" i="242"/>
  <c r="H18" i="242"/>
  <c r="H9" i="242"/>
  <c r="H39" i="181"/>
  <c r="H34" i="181"/>
  <c r="H33" i="181"/>
  <c r="H32" i="181"/>
  <c r="H31" i="181"/>
  <c r="H30" i="181"/>
  <c r="H29" i="181"/>
  <c r="H36" i="181" s="1"/>
  <c r="H28" i="181"/>
  <c r="H27" i="181"/>
  <c r="H26" i="181"/>
  <c r="H25" i="181"/>
  <c r="H20" i="181"/>
  <c r="H19" i="181"/>
  <c r="H18" i="181"/>
  <c r="H17" i="181"/>
  <c r="H16" i="181"/>
  <c r="H14" i="181"/>
  <c r="H13" i="181"/>
  <c r="H12" i="181"/>
  <c r="H10" i="181"/>
  <c r="H9" i="181"/>
  <c r="H8" i="181"/>
  <c r="H7" i="181"/>
  <c r="H6" i="181"/>
  <c r="H93" i="318"/>
  <c r="H92" i="318"/>
  <c r="H91" i="318"/>
  <c r="H90" i="318"/>
  <c r="H89" i="318"/>
  <c r="I89" i="318" s="1"/>
  <c r="J89" i="318" s="1"/>
  <c r="H88" i="318"/>
  <c r="H99" i="318" s="1"/>
  <c r="H87" i="318"/>
  <c r="H75" i="318"/>
  <c r="H74" i="318"/>
  <c r="H73" i="318"/>
  <c r="H72" i="318"/>
  <c r="H71" i="318"/>
  <c r="H45" i="318"/>
  <c r="H44" i="318"/>
  <c r="H43" i="318"/>
  <c r="H42" i="318"/>
  <c r="H41" i="318"/>
  <c r="H40" i="318"/>
  <c r="I40" i="318" s="1"/>
  <c r="J40" i="318" s="1"/>
  <c r="H39" i="318"/>
  <c r="H38" i="318"/>
  <c r="H37" i="318"/>
  <c r="H36" i="318"/>
  <c r="H35" i="318"/>
  <c r="I35" i="318" s="1"/>
  <c r="J35" i="318" s="1"/>
  <c r="H34" i="318"/>
  <c r="H46" i="318" s="1"/>
  <c r="H29" i="318"/>
  <c r="H28" i="318"/>
  <c r="I28" i="318" s="1"/>
  <c r="J28" i="318" s="1"/>
  <c r="H27" i="318"/>
  <c r="I27" i="318" s="1"/>
  <c r="J27" i="318" s="1"/>
  <c r="H26" i="318"/>
  <c r="H25" i="318"/>
  <c r="H24" i="318"/>
  <c r="H23" i="318"/>
  <c r="H22" i="318"/>
  <c r="H21" i="318"/>
  <c r="I21" i="318" s="1"/>
  <c r="J21" i="318" s="1"/>
  <c r="H20" i="318"/>
  <c r="H19" i="318"/>
  <c r="H18" i="318"/>
  <c r="H13" i="318"/>
  <c r="H12" i="318"/>
  <c r="H11" i="318"/>
  <c r="I11" i="318" s="1"/>
  <c r="J11" i="318" s="1"/>
  <c r="H10" i="318"/>
  <c r="H9" i="318"/>
  <c r="H8" i="318"/>
  <c r="H7" i="318"/>
  <c r="H57" i="269"/>
  <c r="H56" i="269"/>
  <c r="H55" i="269"/>
  <c r="H54" i="269"/>
  <c r="H53" i="269"/>
  <c r="H52" i="269"/>
  <c r="H51" i="269"/>
  <c r="H50" i="269"/>
  <c r="H49" i="269"/>
  <c r="H48" i="269"/>
  <c r="H47" i="269"/>
  <c r="H46" i="269"/>
  <c r="H45" i="269" s="1"/>
  <c r="H44" i="269"/>
  <c r="H43" i="269"/>
  <c r="I43" i="269" s="1"/>
  <c r="J43" i="269" s="1"/>
  <c r="H42" i="269"/>
  <c r="H41" i="269"/>
  <c r="H40" i="269"/>
  <c r="H39" i="269"/>
  <c r="I39" i="269" s="1"/>
  <c r="J39" i="269" s="1"/>
  <c r="H38" i="269"/>
  <c r="H37" i="269"/>
  <c r="I37" i="269" s="1"/>
  <c r="H28" i="269"/>
  <c r="H27" i="269"/>
  <c r="H26" i="269"/>
  <c r="I26" i="269" s="1"/>
  <c r="J26" i="269" s="1"/>
  <c r="H25" i="269"/>
  <c r="H24" i="269"/>
  <c r="I24" i="269" s="1"/>
  <c r="J24" i="269" s="1"/>
  <c r="H23" i="269"/>
  <c r="I23" i="269" s="1"/>
  <c r="J23" i="269" s="1"/>
  <c r="H22" i="269"/>
  <c r="H21" i="269"/>
  <c r="H20" i="269"/>
  <c r="H19" i="269"/>
  <c r="H18" i="269"/>
  <c r="H16" i="269"/>
  <c r="H12" i="269"/>
  <c r="H10" i="269"/>
  <c r="H9" i="269"/>
  <c r="H56" i="270"/>
  <c r="H55" i="270"/>
  <c r="H54" i="270"/>
  <c r="H53" i="270"/>
  <c r="H52" i="270"/>
  <c r="H51" i="270"/>
  <c r="I51" i="270" s="1"/>
  <c r="J51" i="270" s="1"/>
  <c r="H50" i="270"/>
  <c r="I50" i="270" s="1"/>
  <c r="J50" i="270" s="1"/>
  <c r="H49" i="270"/>
  <c r="H48" i="270"/>
  <c r="H47" i="270"/>
  <c r="H46" i="270"/>
  <c r="H44" i="270"/>
  <c r="H43" i="270"/>
  <c r="H42" i="270"/>
  <c r="H41" i="270"/>
  <c r="H40" i="270"/>
  <c r="H39" i="270"/>
  <c r="H36" i="270" s="1"/>
  <c r="H38" i="270"/>
  <c r="H37" i="270"/>
  <c r="H28" i="270"/>
  <c r="H27" i="270"/>
  <c r="I27" i="270" s="1"/>
  <c r="J27" i="270" s="1"/>
  <c r="H26" i="270"/>
  <c r="H25" i="270"/>
  <c r="I25" i="270" s="1"/>
  <c r="J25" i="270" s="1"/>
  <c r="H24" i="270"/>
  <c r="H23" i="270"/>
  <c r="H17" i="270" s="1"/>
  <c r="H33" i="270" s="1"/>
  <c r="H22" i="270"/>
  <c r="H21" i="270"/>
  <c r="H20" i="270"/>
  <c r="H19" i="270"/>
  <c r="I19" i="270" s="1"/>
  <c r="H18" i="270"/>
  <c r="H16" i="270"/>
  <c r="H12" i="270"/>
  <c r="H10" i="270"/>
  <c r="H9" i="270"/>
  <c r="H36" i="177"/>
  <c r="H27" i="177"/>
  <c r="H17" i="177"/>
  <c r="H16" i="177"/>
  <c r="H15" i="177"/>
  <c r="H12" i="177"/>
  <c r="H11" i="177"/>
  <c r="H10" i="177"/>
  <c r="H7" i="177"/>
  <c r="H8" i="177"/>
  <c r="H9" i="177"/>
  <c r="H209" i="324"/>
  <c r="H208" i="324"/>
  <c r="H207" i="324"/>
  <c r="H206" i="324"/>
  <c r="H205" i="324"/>
  <c r="H198" i="324"/>
  <c r="H197" i="324"/>
  <c r="H196" i="324"/>
  <c r="H195" i="324"/>
  <c r="H194" i="324"/>
  <c r="H175" i="324"/>
  <c r="H174" i="324"/>
  <c r="H173" i="324"/>
  <c r="H172" i="324"/>
  <c r="I172" i="324" s="1"/>
  <c r="J172" i="324" s="1"/>
  <c r="H161" i="324"/>
  <c r="H40" i="324"/>
  <c r="H39" i="324"/>
  <c r="H38" i="324"/>
  <c r="H37" i="324"/>
  <c r="H36" i="324"/>
  <c r="I36" i="324" s="1"/>
  <c r="J36" i="324" s="1"/>
  <c r="H34" i="324"/>
  <c r="H33" i="324"/>
  <c r="H32" i="324"/>
  <c r="H31" i="324"/>
  <c r="H30" i="324"/>
  <c r="H28" i="324"/>
  <c r="H27" i="324"/>
  <c r="H26" i="324"/>
  <c r="I26" i="324" s="1"/>
  <c r="J26" i="324" s="1"/>
  <c r="H25" i="324"/>
  <c r="H24" i="324"/>
  <c r="H22" i="324"/>
  <c r="H21" i="324"/>
  <c r="H20" i="324"/>
  <c r="I20" i="324" s="1"/>
  <c r="J20" i="324" s="1"/>
  <c r="H19" i="324"/>
  <c r="I19" i="324" s="1"/>
  <c r="J19" i="324" s="1"/>
  <c r="H17" i="324"/>
  <c r="H16" i="324"/>
  <c r="H15" i="324"/>
  <c r="I15" i="324" s="1"/>
  <c r="J15" i="324" s="1"/>
  <c r="H14" i="324"/>
  <c r="H13" i="324"/>
  <c r="H11" i="324"/>
  <c r="H10" i="324"/>
  <c r="H9" i="324"/>
  <c r="H8" i="324"/>
  <c r="I59" i="268"/>
  <c r="J59" i="268" s="1"/>
  <c r="I54" i="268"/>
  <c r="J54" i="268" s="1"/>
  <c r="H41" i="182"/>
  <c r="H40" i="182"/>
  <c r="H39" i="182"/>
  <c r="H35" i="182"/>
  <c r="H34" i="182"/>
  <c r="H33" i="182"/>
  <c r="H32" i="182"/>
  <c r="H31" i="182"/>
  <c r="H30" i="182"/>
  <c r="G16" i="267" s="1"/>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200" i="323"/>
  <c r="H199" i="323"/>
  <c r="H198" i="323"/>
  <c r="I198" i="323" s="1"/>
  <c r="J198" i="323" s="1"/>
  <c r="H197" i="323"/>
  <c r="H190" i="323"/>
  <c r="H189" i="323"/>
  <c r="H188" i="323"/>
  <c r="H187" i="323"/>
  <c r="H186" i="323"/>
  <c r="H185" i="323" s="1"/>
  <c r="H178" i="323"/>
  <c r="H177" i="323"/>
  <c r="H176" i="323"/>
  <c r="H175" i="323"/>
  <c r="H66" i="323"/>
  <c r="H65" i="323"/>
  <c r="H64" i="323"/>
  <c r="H63" i="323"/>
  <c r="H62" i="323"/>
  <c r="H55" i="323"/>
  <c r="H54" i="323"/>
  <c r="H53" i="323"/>
  <c r="H52" i="323"/>
  <c r="H51" i="323"/>
  <c r="H44" i="323"/>
  <c r="H43" i="323"/>
  <c r="H42" i="323"/>
  <c r="H41" i="323"/>
  <c r="H40" i="323"/>
  <c r="H32" i="323"/>
  <c r="H31" i="323"/>
  <c r="H30" i="323"/>
  <c r="H29" i="323"/>
  <c r="H22" i="323"/>
  <c r="H21" i="323"/>
  <c r="H20" i="323"/>
  <c r="H19" i="323"/>
  <c r="H18" i="323"/>
  <c r="H17" i="323" s="1"/>
  <c r="H8" i="323"/>
  <c r="H246" i="330"/>
  <c r="H245" i="330"/>
  <c r="H244" i="330"/>
  <c r="H243" i="330"/>
  <c r="H242" i="330"/>
  <c r="H241" i="330"/>
  <c r="I241" i="330" s="1"/>
  <c r="J241" i="330" s="1"/>
  <c r="H239" i="330"/>
  <c r="H238" i="330"/>
  <c r="H237" i="330"/>
  <c r="H236" i="330"/>
  <c r="H234" i="330"/>
  <c r="H233" i="330"/>
  <c r="H232" i="330"/>
  <c r="H231" i="330"/>
  <c r="H225" i="330"/>
  <c r="H224" i="330"/>
  <c r="H223" i="330"/>
  <c r="H220" i="330"/>
  <c r="H219" i="330"/>
  <c r="H218" i="330"/>
  <c r="H217" i="330"/>
  <c r="H216" i="330"/>
  <c r="H215" i="330"/>
  <c r="I215" i="330" s="1"/>
  <c r="J215" i="330" s="1"/>
  <c r="H213" i="330"/>
  <c r="H212" i="330"/>
  <c r="H211" i="330"/>
  <c r="H210" i="330"/>
  <c r="H208" i="330"/>
  <c r="H207" i="330"/>
  <c r="H206" i="330"/>
  <c r="H205" i="330"/>
  <c r="H204" i="330"/>
  <c r="H203" i="330"/>
  <c r="I203" i="330" s="1"/>
  <c r="J203" i="330" s="1"/>
  <c r="H202" i="330"/>
  <c r="H201" i="330"/>
  <c r="H200" i="330"/>
  <c r="H199" i="330"/>
  <c r="H191" i="330"/>
  <c r="H187" i="330"/>
  <c r="H182" i="330"/>
  <c r="H178" i="330"/>
  <c r="H176" i="330"/>
  <c r="H175" i="330"/>
  <c r="H174" i="330"/>
  <c r="H173" i="330"/>
  <c r="H172" i="330"/>
  <c r="H170" i="330"/>
  <c r="H169" i="330"/>
  <c r="H168" i="330"/>
  <c r="H167" i="330"/>
  <c r="H166" i="330"/>
  <c r="H165" i="330"/>
  <c r="I165" i="330" s="1"/>
  <c r="J165" i="330" s="1"/>
  <c r="H164" i="330"/>
  <c r="H163" i="330"/>
  <c r="H162" i="330"/>
  <c r="H161" i="330"/>
  <c r="H160" i="330"/>
  <c r="H159" i="330"/>
  <c r="I159" i="330" s="1"/>
  <c r="J159" i="330" s="1"/>
  <c r="H158" i="330"/>
  <c r="H157" i="330"/>
  <c r="H156" i="330"/>
  <c r="H155" i="330"/>
  <c r="H154" i="330"/>
  <c r="H153" i="330"/>
  <c r="I153" i="330" s="1"/>
  <c r="J153" i="330" s="1"/>
  <c r="H152" i="330"/>
  <c r="H151" i="330"/>
  <c r="H150" i="330"/>
  <c r="H147" i="330"/>
  <c r="H145" i="330"/>
  <c r="H144" i="330"/>
  <c r="H143" i="330"/>
  <c r="H142" i="330"/>
  <c r="H141" i="330"/>
  <c r="H140" i="330"/>
  <c r="I140" i="330" s="1"/>
  <c r="J140" i="330" s="1"/>
  <c r="H139" i="330"/>
  <c r="H138" i="330"/>
  <c r="H137" i="330"/>
  <c r="H136" i="330"/>
  <c r="H135" i="330"/>
  <c r="H134" i="330"/>
  <c r="H132" i="330" s="1"/>
  <c r="H133" i="330"/>
  <c r="H131" i="330"/>
  <c r="H130" i="330"/>
  <c r="H124" i="330"/>
  <c r="H123" i="330"/>
  <c r="H122" i="330"/>
  <c r="H121" i="330"/>
  <c r="I121" i="330" s="1"/>
  <c r="J121" i="330" s="1"/>
  <c r="H120" i="330"/>
  <c r="H115" i="330"/>
  <c r="H110" i="330"/>
  <c r="H106" i="330"/>
  <c r="H102" i="330"/>
  <c r="H101" i="330"/>
  <c r="H97" i="330"/>
  <c r="H88" i="330"/>
  <c r="H83" i="330"/>
  <c r="H65" i="330"/>
  <c r="H63" i="330"/>
  <c r="H62" i="330"/>
  <c r="H61" i="330"/>
  <c r="I61" i="330" s="1"/>
  <c r="J61" i="330" s="1"/>
  <c r="H60" i="330"/>
  <c r="H59" i="330"/>
  <c r="H58" i="330"/>
  <c r="I58" i="330" s="1"/>
  <c r="J58" i="330" s="1"/>
  <c r="H57" i="330"/>
  <c r="H56" i="330"/>
  <c r="H54" i="330"/>
  <c r="H53" i="330"/>
  <c r="H52" i="330"/>
  <c r="H51" i="330"/>
  <c r="H50" i="330"/>
  <c r="H48" i="330"/>
  <c r="H47" i="330"/>
  <c r="H46" i="330"/>
  <c r="H45" i="330"/>
  <c r="H44" i="330"/>
  <c r="H43" i="330"/>
  <c r="I43" i="330" s="1"/>
  <c r="J43" i="330" s="1"/>
  <c r="H42" i="330"/>
  <c r="H41" i="330"/>
  <c r="H40" i="330"/>
  <c r="I40" i="330" s="1"/>
  <c r="J40" i="330" s="1"/>
  <c r="H39" i="330"/>
  <c r="H38" i="330"/>
  <c r="H37" i="330"/>
  <c r="I37" i="330" s="1"/>
  <c r="J37" i="330" s="1"/>
  <c r="H36" i="330"/>
  <c r="H35" i="330"/>
  <c r="H34" i="330"/>
  <c r="I34" i="330" s="1"/>
  <c r="J34" i="330" s="1"/>
  <c r="H33" i="330"/>
  <c r="H32" i="330"/>
  <c r="H31" i="330"/>
  <c r="I31" i="330" s="1"/>
  <c r="J31" i="330" s="1"/>
  <c r="H30" i="330"/>
  <c r="H29" i="330"/>
  <c r="H28" i="330"/>
  <c r="I28" i="330" s="1"/>
  <c r="J28" i="330" s="1"/>
  <c r="H23" i="330"/>
  <c r="H22" i="330"/>
  <c r="H21" i="330"/>
  <c r="H20" i="330"/>
  <c r="H19" i="330"/>
  <c r="H18" i="330"/>
  <c r="I18" i="330" s="1"/>
  <c r="J18" i="330" s="1"/>
  <c r="H17" i="330"/>
  <c r="H16" i="330"/>
  <c r="H15" i="330"/>
  <c r="H14" i="330"/>
  <c r="H13" i="330"/>
  <c r="H12" i="330"/>
  <c r="H10" i="330" s="1"/>
  <c r="H11" i="330"/>
  <c r="H9" i="330"/>
  <c r="K88" i="318"/>
  <c r="K89" i="318"/>
  <c r="K90" i="318"/>
  <c r="K91" i="318"/>
  <c r="K92" i="318"/>
  <c r="K99" i="318"/>
  <c r="K100" i="318"/>
  <c r="K93" i="318"/>
  <c r="K87" i="318"/>
  <c r="I91" i="318"/>
  <c r="J91" i="318"/>
  <c r="K73" i="318"/>
  <c r="K75" i="318"/>
  <c r="K76" i="318"/>
  <c r="K77" i="318"/>
  <c r="K83" i="318"/>
  <c r="K71" i="318"/>
  <c r="K158" i="335"/>
  <c r="K152" i="335"/>
  <c r="K149" i="335"/>
  <c r="K108" i="335"/>
  <c r="K46" i="335"/>
  <c r="K30" i="335"/>
  <c r="K18" i="335"/>
  <c r="K9" i="335"/>
  <c r="H12" i="333"/>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161" i="242"/>
  <c r="K160" i="242" s="1"/>
  <c r="K155" i="242"/>
  <c r="K152" i="242"/>
  <c r="K151" i="242" s="1"/>
  <c r="K149" i="242"/>
  <c r="K148" i="242" s="1"/>
  <c r="K144" i="242"/>
  <c r="K119" i="242"/>
  <c r="K108" i="242"/>
  <c r="K103" i="242" s="1"/>
  <c r="K88" i="242"/>
  <c r="K84" i="242"/>
  <c r="K77" i="242"/>
  <c r="K76" i="242" s="1"/>
  <c r="K75" i="242" s="1"/>
  <c r="K40" i="242"/>
  <c r="K18" i="242"/>
  <c r="K9" i="242"/>
  <c r="K44" i="318"/>
  <c r="K42" i="318"/>
  <c r="K41" i="318"/>
  <c r="K40" i="318"/>
  <c r="K39" i="318"/>
  <c r="K38" i="318"/>
  <c r="K37" i="318"/>
  <c r="K36" i="318"/>
  <c r="K35" i="318"/>
  <c r="K34" i="318"/>
  <c r="K25" i="318"/>
  <c r="K24" i="318"/>
  <c r="K23" i="318"/>
  <c r="K22" i="318"/>
  <c r="K20" i="318"/>
  <c r="K19" i="318"/>
  <c r="K18" i="318"/>
  <c r="K8" i="318"/>
  <c r="K9" i="318"/>
  <c r="K10" i="318"/>
  <c r="K11" i="318"/>
  <c r="K12" i="318"/>
  <c r="K7" i="318"/>
  <c r="K57" i="269"/>
  <c r="K55" i="269"/>
  <c r="K54" i="269"/>
  <c r="K52" i="269"/>
  <c r="K51" i="269"/>
  <c r="K50" i="269"/>
  <c r="I44" i="269"/>
  <c r="J44" i="269" s="1"/>
  <c r="I42" i="269"/>
  <c r="J42" i="269" s="1"/>
  <c r="I41" i="269"/>
  <c r="J41" i="269" s="1"/>
  <c r="I40" i="269"/>
  <c r="J40" i="269" s="1"/>
  <c r="I38" i="269"/>
  <c r="J38" i="269" s="1"/>
  <c r="K39" i="269"/>
  <c r="K43" i="269"/>
  <c r="K37" i="269"/>
  <c r="I25" i="269"/>
  <c r="J25" i="269" s="1"/>
  <c r="I20" i="269"/>
  <c r="J20" i="269" s="1"/>
  <c r="I19" i="269"/>
  <c r="J19" i="269"/>
  <c r="I18" i="269"/>
  <c r="J18" i="269" s="1"/>
  <c r="K28" i="269"/>
  <c r="K27" i="269"/>
  <c r="K26" i="269"/>
  <c r="K24" i="269"/>
  <c r="K23" i="269"/>
  <c r="K22" i="269"/>
  <c r="K21" i="269"/>
  <c r="I28" i="269"/>
  <c r="J28" i="269" s="1"/>
  <c r="I27" i="269"/>
  <c r="J27" i="269" s="1"/>
  <c r="I22" i="269"/>
  <c r="J22" i="269"/>
  <c r="I21" i="269"/>
  <c r="J21" i="269" s="1"/>
  <c r="I11" i="269"/>
  <c r="J11" i="269"/>
  <c r="I13" i="269"/>
  <c r="J13" i="269" s="1"/>
  <c r="I14" i="269"/>
  <c r="J14" i="269" s="1"/>
  <c r="I15" i="269"/>
  <c r="J15" i="269"/>
  <c r="K10" i="269"/>
  <c r="K12" i="269"/>
  <c r="K16" i="269"/>
  <c r="K9" i="269"/>
  <c r="I16" i="269"/>
  <c r="J16" i="269"/>
  <c r="I12" i="269"/>
  <c r="J12" i="269" s="1"/>
  <c r="I10" i="269"/>
  <c r="J10" i="269" s="1"/>
  <c r="I48" i="270"/>
  <c r="J48" i="270" s="1"/>
  <c r="I47" i="270"/>
  <c r="J47" i="270" s="1"/>
  <c r="I38" i="270"/>
  <c r="J38" i="270" s="1"/>
  <c r="I40" i="270"/>
  <c r="J40" i="270" s="1"/>
  <c r="I41" i="270"/>
  <c r="J41" i="270" s="1"/>
  <c r="I42" i="270"/>
  <c r="J42" i="270" s="1"/>
  <c r="I44" i="270"/>
  <c r="J44" i="270" s="1"/>
  <c r="K53" i="270"/>
  <c r="K54" i="270"/>
  <c r="K56" i="270"/>
  <c r="K50" i="270"/>
  <c r="K51" i="270"/>
  <c r="K49" i="270"/>
  <c r="I54" i="270"/>
  <c r="J54" i="270" s="1"/>
  <c r="I53" i="270"/>
  <c r="J53" i="270" s="1"/>
  <c r="I49" i="270"/>
  <c r="J49" i="270" s="1"/>
  <c r="K43" i="270"/>
  <c r="K39" i="270"/>
  <c r="I43" i="270"/>
  <c r="J43" i="270" s="1"/>
  <c r="I39" i="270"/>
  <c r="J39" i="270" s="1"/>
  <c r="K37" i="270"/>
  <c r="A45" i="270"/>
  <c r="I20" i="270"/>
  <c r="J20" i="270" s="1"/>
  <c r="I18" i="270"/>
  <c r="J18" i="270" s="1"/>
  <c r="I11" i="270"/>
  <c r="J11" i="270" s="1"/>
  <c r="I13" i="270"/>
  <c r="J13" i="270" s="1"/>
  <c r="I14" i="270"/>
  <c r="J14" i="270" s="1"/>
  <c r="I15" i="270"/>
  <c r="J15" i="270" s="1"/>
  <c r="K28" i="270"/>
  <c r="K27" i="270"/>
  <c r="K26" i="270"/>
  <c r="K24" i="270"/>
  <c r="K23" i="270"/>
  <c r="K22" i="270"/>
  <c r="K21" i="270"/>
  <c r="I24" i="270"/>
  <c r="J24" i="270" s="1"/>
  <c r="I23" i="270"/>
  <c r="J23" i="270" s="1"/>
  <c r="I22" i="270"/>
  <c r="J22" i="270" s="1"/>
  <c r="I21" i="270"/>
  <c r="J21" i="270" s="1"/>
  <c r="K16" i="270"/>
  <c r="K12" i="270"/>
  <c r="K10" i="270"/>
  <c r="K9" i="270"/>
  <c r="I12" i="270"/>
  <c r="J12" i="270" s="1"/>
  <c r="I10" i="270"/>
  <c r="J10" i="270" s="1"/>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7" i="178"/>
  <c r="G12" i="178"/>
  <c r="G10" i="178"/>
  <c r="G9" i="178"/>
  <c r="G8" i="178"/>
  <c r="G7" i="178"/>
  <c r="K207" i="324"/>
  <c r="K206" i="324"/>
  <c r="K205" i="324"/>
  <c r="K197" i="324"/>
  <c r="K194" i="324"/>
  <c r="K175" i="324"/>
  <c r="K174" i="324"/>
  <c r="K172" i="324"/>
  <c r="K161" i="324"/>
  <c r="K38" i="324"/>
  <c r="K37" i="324"/>
  <c r="K36" i="324"/>
  <c r="K33" i="324"/>
  <c r="K32" i="324"/>
  <c r="K22" i="324"/>
  <c r="K21" i="324"/>
  <c r="K20" i="324"/>
  <c r="K14" i="324"/>
  <c r="K9" i="324"/>
  <c r="K73" i="268"/>
  <c r="K67" i="268"/>
  <c r="K66" i="268"/>
  <c r="K62" i="268"/>
  <c r="K61" i="268"/>
  <c r="K60" i="268"/>
  <c r="K59" i="268"/>
  <c r="K58" i="268"/>
  <c r="K55" i="268"/>
  <c r="K54" i="268"/>
  <c r="K51" i="268"/>
  <c r="K48" i="268"/>
  <c r="K45" i="268"/>
  <c r="K44" i="268"/>
  <c r="K39" i="182"/>
  <c r="K34" i="182"/>
  <c r="K33" i="182"/>
  <c r="K32" i="182"/>
  <c r="K31" i="182"/>
  <c r="K30" i="182"/>
  <c r="K36" i="182"/>
  <c r="K29" i="182"/>
  <c r="K28" i="182"/>
  <c r="K27" i="182"/>
  <c r="K26" i="182"/>
  <c r="K25" i="182"/>
  <c r="J12" i="267"/>
  <c r="K20" i="182"/>
  <c r="K19" i="182"/>
  <c r="K18" i="182"/>
  <c r="K17" i="182"/>
  <c r="K16" i="182"/>
  <c r="K14" i="182"/>
  <c r="K13" i="182"/>
  <c r="K12" i="182"/>
  <c r="K10" i="182"/>
  <c r="K9" i="182"/>
  <c r="K8" i="182"/>
  <c r="K7" i="182"/>
  <c r="K6" i="182"/>
  <c r="K34" i="181"/>
  <c r="K39" i="181"/>
  <c r="K33" i="181"/>
  <c r="K32" i="181"/>
  <c r="K31" i="181"/>
  <c r="K30" i="181"/>
  <c r="K29" i="181"/>
  <c r="K28" i="181"/>
  <c r="K27" i="181"/>
  <c r="K26" i="181"/>
  <c r="K25" i="181"/>
  <c r="K20" i="181"/>
  <c r="K19" i="181"/>
  <c r="K18" i="181"/>
  <c r="K17" i="181"/>
  <c r="K16" i="181"/>
  <c r="K14" i="181"/>
  <c r="K13" i="181"/>
  <c r="K12" i="181"/>
  <c r="K10" i="181"/>
  <c r="K9" i="181"/>
  <c r="K8" i="181"/>
  <c r="K7" i="181"/>
  <c r="K6" i="181"/>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3" i="330"/>
  <c r="K121" i="330"/>
  <c r="K120" i="330"/>
  <c r="K115" i="330"/>
  <c r="K110" i="330"/>
  <c r="K106" i="330"/>
  <c r="K102" i="330"/>
  <c r="K101" i="330"/>
  <c r="K97" i="330"/>
  <c r="K88" i="330"/>
  <c r="K83" i="330"/>
  <c r="K65" i="330"/>
  <c r="K62" i="330"/>
  <c r="K60" i="330"/>
  <c r="K53" i="330"/>
  <c r="K44" i="330"/>
  <c r="K41" i="330"/>
  <c r="K33" i="330"/>
  <c r="K31" i="330"/>
  <c r="K17" i="330"/>
  <c r="K16" i="330"/>
  <c r="K15" i="330"/>
  <c r="K13" i="330"/>
  <c r="D76" i="330"/>
  <c r="D75" i="330"/>
  <c r="K9" i="330"/>
  <c r="I55" i="270"/>
  <c r="J55" i="270" s="1"/>
  <c r="I52" i="270"/>
  <c r="J52" i="270"/>
  <c r="I46" i="270"/>
  <c r="J46" i="270" s="1"/>
  <c r="I28" i="270"/>
  <c r="J28" i="270" s="1"/>
  <c r="I26" i="270"/>
  <c r="J26" i="270" s="1"/>
  <c r="I9" i="270"/>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c r="I25" i="181"/>
  <c r="J25" i="181"/>
  <c r="I16" i="181"/>
  <c r="J16" i="181" s="1"/>
  <c r="I12" i="181"/>
  <c r="J12" i="181"/>
  <c r="I10" i="181"/>
  <c r="J10" i="181" s="1"/>
  <c r="I145" i="242"/>
  <c r="J145" i="242"/>
  <c r="I96" i="242"/>
  <c r="J96" i="242" s="1"/>
  <c r="I92" i="242"/>
  <c r="J92" i="242" s="1"/>
  <c r="H87" i="242"/>
  <c r="H86" i="242"/>
  <c r="H85" i="242"/>
  <c r="I85" i="242" s="1"/>
  <c r="J85" i="242" s="1"/>
  <c r="H83" i="242"/>
  <c r="H82" i="242"/>
  <c r="H81" i="242"/>
  <c r="I81" i="242"/>
  <c r="J81" i="242" s="1"/>
  <c r="H80" i="242"/>
  <c r="H79" i="242"/>
  <c r="H78" i="242"/>
  <c r="I78" i="242"/>
  <c r="J78" i="242" s="1"/>
  <c r="H8" i="242"/>
  <c r="I105" i="325"/>
  <c r="J105" i="325" s="1"/>
  <c r="I97" i="325"/>
  <c r="J97" i="325"/>
  <c r="I93" i="325"/>
  <c r="J93" i="325" s="1"/>
  <c r="I89" i="325"/>
  <c r="J89" i="325"/>
  <c r="I85" i="325"/>
  <c r="J85" i="325"/>
  <c r="I81" i="325"/>
  <c r="J81" i="325"/>
  <c r="H76" i="325"/>
  <c r="I76" i="325" s="1"/>
  <c r="J76" i="325" s="1"/>
  <c r="H8" i="325"/>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c r="H99" i="335"/>
  <c r="I97" i="335"/>
  <c r="J97" i="335"/>
  <c r="I93" i="335"/>
  <c r="J93" i="335"/>
  <c r="I89" i="335"/>
  <c r="J89" i="335"/>
  <c r="I85" i="335"/>
  <c r="J85" i="335"/>
  <c r="I81" i="335"/>
  <c r="J81" i="335"/>
  <c r="I77" i="335"/>
  <c r="J77" i="335"/>
  <c r="H69" i="335"/>
  <c r="I69" i="335"/>
  <c r="J69" i="335"/>
  <c r="H63" i="335"/>
  <c r="I63" i="335"/>
  <c r="J63" i="335"/>
  <c r="I59" i="335"/>
  <c r="J59" i="335"/>
  <c r="H53" i="335"/>
  <c r="I53" i="335"/>
  <c r="J53" i="335"/>
  <c r="I51" i="335"/>
  <c r="J51" i="335"/>
  <c r="I47" i="335"/>
  <c r="J47" i="335" s="1"/>
  <c r="I46" i="335"/>
  <c r="J46" i="335" s="1"/>
  <c r="H38" i="335"/>
  <c r="I34" i="335"/>
  <c r="J34" i="335"/>
  <c r="I30" i="335"/>
  <c r="J30" i="335" s="1"/>
  <c r="I25" i="335"/>
  <c r="J25" i="335"/>
  <c r="H17" i="335"/>
  <c r="I14" i="335"/>
  <c r="J14" i="335"/>
  <c r="I39" i="324"/>
  <c r="J39" i="324"/>
  <c r="I38" i="324"/>
  <c r="J38" i="324" s="1"/>
  <c r="I34" i="324"/>
  <c r="J34" i="324"/>
  <c r="I33" i="324"/>
  <c r="J33" i="324"/>
  <c r="I32" i="324"/>
  <c r="J32" i="324" s="1"/>
  <c r="I30" i="324"/>
  <c r="J30" i="324"/>
  <c r="I28" i="324"/>
  <c r="J28" i="324"/>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c r="H222" i="330"/>
  <c r="H44" i="241" s="1"/>
  <c r="I218" i="330"/>
  <c r="J218" i="330" s="1"/>
  <c r="I212" i="330"/>
  <c r="J212" i="330" s="1"/>
  <c r="I204" i="330"/>
  <c r="J204" i="330" s="1"/>
  <c r="I183" i="330"/>
  <c r="J183" i="330" s="1"/>
  <c r="I180" i="330"/>
  <c r="J180" i="330" s="1"/>
  <c r="H177" i="330"/>
  <c r="H36" i="241"/>
  <c r="I175" i="330"/>
  <c r="J175" i="330" s="1"/>
  <c r="I174" i="330"/>
  <c r="J174" i="330"/>
  <c r="I167" i="330"/>
  <c r="J167" i="330" s="1"/>
  <c r="I164" i="330"/>
  <c r="J164" i="330" s="1"/>
  <c r="I160" i="330"/>
  <c r="J160" i="330" s="1"/>
  <c r="I156" i="330"/>
  <c r="J156" i="330" s="1"/>
  <c r="I152" i="330"/>
  <c r="J152" i="330" s="1"/>
  <c r="I144" i="330"/>
  <c r="J144" i="330" s="1"/>
  <c r="I136" i="330"/>
  <c r="J136" i="330" s="1"/>
  <c r="H108" i="330"/>
  <c r="H104" i="330"/>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H10" i="323"/>
  <c r="H9" i="323"/>
  <c r="H7" i="323"/>
  <c r="G17" i="267"/>
  <c r="I27" i="182"/>
  <c r="J27" i="182" s="1"/>
  <c r="H22" i="182"/>
  <c r="O33" i="317"/>
  <c r="I33" i="317"/>
  <c r="I54" i="317"/>
  <c r="H33" i="317"/>
  <c r="C33" i="317"/>
  <c r="A25" i="317"/>
  <c r="A24" i="317"/>
  <c r="A69" i="268"/>
  <c r="A22" i="267"/>
  <c r="A25" i="238"/>
  <c r="N22" i="238"/>
  <c r="M22" i="238"/>
  <c r="M24" i="238" s="1"/>
  <c r="K22" i="238"/>
  <c r="K24" i="238" s="1"/>
  <c r="N12" i="238"/>
  <c r="M12" i="238"/>
  <c r="K12" i="238"/>
  <c r="O21" i="238"/>
  <c r="O20" i="238"/>
  <c r="O19" i="238"/>
  <c r="O18" i="238"/>
  <c r="O22" i="238" s="1"/>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F25" i="178"/>
  <c r="E25" i="178"/>
  <c r="D25" i="178"/>
  <c r="D26" i="178"/>
  <c r="E39" i="174"/>
  <c r="C25" i="178"/>
  <c r="K22" i="182"/>
  <c r="G22" i="182"/>
  <c r="G55" i="174" s="1"/>
  <c r="F22" i="182"/>
  <c r="F53" i="182" s="1"/>
  <c r="E22" i="182"/>
  <c r="D22" i="182"/>
  <c r="D53" i="182"/>
  <c r="C22" i="182"/>
  <c r="I184" i="330"/>
  <c r="J184" i="330"/>
  <c r="A184" i="330"/>
  <c r="A183" i="330"/>
  <c r="I62" i="330"/>
  <c r="J62" i="330" s="1"/>
  <c r="K53" i="333"/>
  <c r="H53" i="333"/>
  <c r="G53" i="333"/>
  <c r="F53" i="333"/>
  <c r="E53" i="333"/>
  <c r="D53" i="333"/>
  <c r="K53" i="335"/>
  <c r="G53" i="335"/>
  <c r="F53" i="335"/>
  <c r="E53" i="335"/>
  <c r="D53" i="335"/>
  <c r="K8" i="335"/>
  <c r="H8" i="335"/>
  <c r="G8" i="335"/>
  <c r="I8" i="335" s="1"/>
  <c r="J8" i="335" s="1"/>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I8" i="242" s="1"/>
  <c r="J8" i="242" s="1"/>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c r="J151" i="335"/>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s="1"/>
  <c r="I104" i="335"/>
  <c r="J104" i="335"/>
  <c r="K103" i="335"/>
  <c r="G103" i="335"/>
  <c r="F103" i="335"/>
  <c r="E103" i="335"/>
  <c r="D103" i="335"/>
  <c r="C103" i="335"/>
  <c r="I102" i="335"/>
  <c r="J102" i="335" s="1"/>
  <c r="I100" i="335"/>
  <c r="J100" i="335"/>
  <c r="K99" i="335"/>
  <c r="G99" i="335"/>
  <c r="I99" i="335" s="1"/>
  <c r="J99" i="335" s="1"/>
  <c r="F99" i="335"/>
  <c r="F75" i="335" s="1"/>
  <c r="E99" i="335"/>
  <c r="E75"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c r="G76" i="335"/>
  <c r="G75"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s="1"/>
  <c r="I49" i="335"/>
  <c r="J49" i="335" s="1"/>
  <c r="I48" i="335"/>
  <c r="J48" i="335"/>
  <c r="K45" i="335"/>
  <c r="G45" i="335"/>
  <c r="F45" i="335"/>
  <c r="E45" i="335"/>
  <c r="D45" i="335"/>
  <c r="C45" i="335"/>
  <c r="I44" i="335"/>
  <c r="J44" i="335"/>
  <c r="I43" i="335"/>
  <c r="J43" i="335" s="1"/>
  <c r="I42" i="335"/>
  <c r="J42" i="335" s="1"/>
  <c r="I40" i="335"/>
  <c r="J40" i="335"/>
  <c r="I39" i="335"/>
  <c r="J39" i="335" s="1"/>
  <c r="K38" i="335"/>
  <c r="G38" i="335"/>
  <c r="I38" i="335" s="1"/>
  <c r="J38" i="335" s="1"/>
  <c r="F38" i="335"/>
  <c r="E38" i="335"/>
  <c r="D38" i="335"/>
  <c r="C38" i="335"/>
  <c r="I37" i="335"/>
  <c r="J37" i="335"/>
  <c r="I36" i="335"/>
  <c r="J36" i="335" s="1"/>
  <c r="I35" i="335"/>
  <c r="J35" i="335" s="1"/>
  <c r="I33" i="335"/>
  <c r="J33" i="335"/>
  <c r="I32" i="335"/>
  <c r="J32" i="335"/>
  <c r="I31" i="335"/>
  <c r="J31" i="335" s="1"/>
  <c r="I29" i="335"/>
  <c r="J29" i="335"/>
  <c r="I28" i="335"/>
  <c r="J28" i="335"/>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c r="I11" i="335"/>
  <c r="J11" i="335" s="1"/>
  <c r="I10" i="335"/>
  <c r="J10" i="335"/>
  <c r="I9" i="335"/>
  <c r="J9" i="335"/>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c r="G140" i="333"/>
  <c r="I140" i="333" s="1"/>
  <c r="J140" i="333" s="1"/>
  <c r="F140" i="333"/>
  <c r="F138" i="333" s="1"/>
  <c r="E140" i="333"/>
  <c r="E138" i="333"/>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c r="G118" i="333"/>
  <c r="I118" i="333" s="1"/>
  <c r="J118" i="333" s="1"/>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c r="I82" i="333"/>
  <c r="J82" i="333" s="1"/>
  <c r="I80" i="333"/>
  <c r="J80" i="333" s="1"/>
  <c r="I78" i="333"/>
  <c r="J78" i="333" s="1"/>
  <c r="K76" i="333"/>
  <c r="K75" i="333"/>
  <c r="G76" i="333"/>
  <c r="G75" i="333" s="1"/>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c r="I126" i="325"/>
  <c r="J126" i="325" s="1"/>
  <c r="I125" i="325"/>
  <c r="J125" i="325" s="1"/>
  <c r="I124" i="325"/>
  <c r="J124" i="325"/>
  <c r="I123" i="325"/>
  <c r="J123" i="325" s="1"/>
  <c r="I122" i="325"/>
  <c r="J122" i="325" s="1"/>
  <c r="I121" i="325"/>
  <c r="J121" i="325"/>
  <c r="I120" i="325"/>
  <c r="J120" i="325" s="1"/>
  <c r="I119" i="325"/>
  <c r="J119" i="325" s="1"/>
  <c r="K118" i="325"/>
  <c r="K117" i="325"/>
  <c r="H118" i="325"/>
  <c r="G118" i="325"/>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c r="I79" i="325"/>
  <c r="J79" i="325"/>
  <c r="I78" i="325"/>
  <c r="J78" i="325"/>
  <c r="I77" i="325"/>
  <c r="J77" i="325"/>
  <c r="K76" i="325"/>
  <c r="K75" i="325"/>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c r="I30" i="325"/>
  <c r="J30" i="325"/>
  <c r="I29" i="325"/>
  <c r="J29" i="325"/>
  <c r="I28" i="325"/>
  <c r="J28" i="325"/>
  <c r="K27" i="325"/>
  <c r="H27" i="325"/>
  <c r="I27" i="325" s="1"/>
  <c r="J27" i="325" s="1"/>
  <c r="G27" i="325"/>
  <c r="F27" i="325"/>
  <c r="E27" i="325"/>
  <c r="D27" i="325"/>
  <c r="C27" i="325"/>
  <c r="I26" i="325"/>
  <c r="J26" i="325"/>
  <c r="I25" i="325"/>
  <c r="J25" i="325"/>
  <c r="I24" i="325"/>
  <c r="J24" i="325" s="1"/>
  <c r="I23" i="325"/>
  <c r="J23" i="325" s="1"/>
  <c r="I22" i="325"/>
  <c r="J22" i="325"/>
  <c r="I21" i="325"/>
  <c r="J21" i="325" s="1"/>
  <c r="I20" i="325"/>
  <c r="J20" i="325" s="1"/>
  <c r="I19" i="325"/>
  <c r="J19" i="325"/>
  <c r="I18" i="325"/>
  <c r="J18" i="325" s="1"/>
  <c r="K17" i="325"/>
  <c r="H17" i="325"/>
  <c r="G17" i="325"/>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c r="K45" i="326"/>
  <c r="K7" i="326"/>
  <c r="K166" i="326"/>
  <c r="H45" i="326"/>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G160" i="242"/>
  <c r="F160" i="242"/>
  <c r="E160" i="242"/>
  <c r="D160" i="242"/>
  <c r="C160" i="242"/>
  <c r="K140" i="242"/>
  <c r="K138" i="242"/>
  <c r="G140" i="242"/>
  <c r="F140" i="242"/>
  <c r="F138" i="242"/>
  <c r="E140" i="242"/>
  <c r="E138" i="242"/>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c r="H118" i="242"/>
  <c r="G118" i="242"/>
  <c r="F118" i="242"/>
  <c r="E118" i="242"/>
  <c r="D118" i="242"/>
  <c r="D117" i="242"/>
  <c r="C118" i="242"/>
  <c r="I122" i="242"/>
  <c r="J122" i="242" s="1"/>
  <c r="I121" i="242"/>
  <c r="J121" i="242"/>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E76" i="242"/>
  <c r="D76" i="242"/>
  <c r="C99" i="242"/>
  <c r="C76" i="242"/>
  <c r="I87" i="242"/>
  <c r="J87" i="242" s="1"/>
  <c r="I86" i="242"/>
  <c r="J86" i="242" s="1"/>
  <c r="I83" i="242"/>
  <c r="J83" i="242"/>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K7" i="242" s="1"/>
  <c r="K166" i="242" s="1"/>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c r="I42" i="242"/>
  <c r="J42" i="242"/>
  <c r="I40" i="242"/>
  <c r="J40" i="242" s="1"/>
  <c r="I44" i="242"/>
  <c r="J44" i="242" s="1"/>
  <c r="I43" i="242"/>
  <c r="J43" i="242" s="1"/>
  <c r="I39" i="242"/>
  <c r="J39" i="242"/>
  <c r="K38" i="242"/>
  <c r="H38" i="242"/>
  <c r="I38" i="242" s="1"/>
  <c r="J38" i="242" s="1"/>
  <c r="G38" i="242"/>
  <c r="F38" i="242"/>
  <c r="E38" i="242"/>
  <c r="D38" i="242"/>
  <c r="C38" i="242"/>
  <c r="I36" i="242"/>
  <c r="J36" i="242"/>
  <c r="I35" i="242"/>
  <c r="J35" i="242"/>
  <c r="I34" i="242"/>
  <c r="J34" i="242"/>
  <c r="I33" i="242"/>
  <c r="J33" i="242"/>
  <c r="I32" i="242"/>
  <c r="J32" i="242"/>
  <c r="I31" i="242"/>
  <c r="J31" i="242"/>
  <c r="I30" i="242"/>
  <c r="J30" i="242"/>
  <c r="I29" i="242"/>
  <c r="J29" i="242"/>
  <c r="C17" i="242"/>
  <c r="I26" i="242"/>
  <c r="J26" i="242" s="1"/>
  <c r="I25" i="242"/>
  <c r="J25" i="242"/>
  <c r="C8" i="242"/>
  <c r="I10" i="242"/>
  <c r="J10" i="242"/>
  <c r="I9" i="242"/>
  <c r="J9" i="242"/>
  <c r="I243" i="330"/>
  <c r="J243" i="330" s="1"/>
  <c r="A243" i="330"/>
  <c r="A239" i="330"/>
  <c r="K235" i="330"/>
  <c r="K47" i="241"/>
  <c r="G235" i="330"/>
  <c r="G47" i="241" s="1"/>
  <c r="F235" i="330"/>
  <c r="F47" i="241"/>
  <c r="E235" i="330"/>
  <c r="E47" i="24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c r="I193" i="330"/>
  <c r="J193" i="330"/>
  <c r="A188" i="330"/>
  <c r="A187" i="330"/>
  <c r="K186" i="330"/>
  <c r="K37" i="241"/>
  <c r="H186" i="330"/>
  <c r="G186" i="330"/>
  <c r="F186" i="330"/>
  <c r="F37" i="241" s="1"/>
  <c r="E186" i="330"/>
  <c r="E37" i="241"/>
  <c r="D186" i="330"/>
  <c r="D37" i="241"/>
  <c r="C186" i="330"/>
  <c r="C37" i="241"/>
  <c r="I188" i="330"/>
  <c r="J188" i="330"/>
  <c r="I187" i="330"/>
  <c r="J187" i="330"/>
  <c r="A176" i="330"/>
  <c r="A175" i="330"/>
  <c r="A174" i="330"/>
  <c r="K171" i="330"/>
  <c r="K35" i="241"/>
  <c r="G171" i="330"/>
  <c r="G35" i="241"/>
  <c r="F171" i="330"/>
  <c r="F35" i="241" s="1"/>
  <c r="E171" i="330"/>
  <c r="E35" i="241"/>
  <c r="D171" i="330"/>
  <c r="D35" i="241"/>
  <c r="C171" i="330"/>
  <c r="C35" i="241"/>
  <c r="I176" i="330"/>
  <c r="J176" i="330"/>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K31" i="241"/>
  <c r="G132" i="330"/>
  <c r="G31" i="241"/>
  <c r="F132" i="330"/>
  <c r="E132" i="330"/>
  <c r="D132" i="330"/>
  <c r="D31" i="241"/>
  <c r="K27" i="330"/>
  <c r="H27" i="330"/>
  <c r="G27" i="330"/>
  <c r="G11" i="241" s="1"/>
  <c r="F27" i="330"/>
  <c r="F11" i="241"/>
  <c r="E27" i="330"/>
  <c r="E11" i="241"/>
  <c r="D27" i="330"/>
  <c r="C27" i="330"/>
  <c r="C11" i="241"/>
  <c r="K10" i="330"/>
  <c r="K6" i="330"/>
  <c r="G10" i="330"/>
  <c r="G8" i="241"/>
  <c r="F10" i="330"/>
  <c r="F6" i="330" s="1"/>
  <c r="E10" i="330"/>
  <c r="D10" i="330"/>
  <c r="D8" i="241"/>
  <c r="C10" i="330"/>
  <c r="C132" i="330"/>
  <c r="C31" i="241"/>
  <c r="I145" i="330"/>
  <c r="J145" i="330"/>
  <c r="I143" i="330"/>
  <c r="J143" i="330" s="1"/>
  <c r="I142" i="330"/>
  <c r="J142" i="330" s="1"/>
  <c r="I141" i="330"/>
  <c r="J141" i="330" s="1"/>
  <c r="I139" i="330"/>
  <c r="J139" i="330" s="1"/>
  <c r="I138" i="330"/>
  <c r="J138" i="330" s="1"/>
  <c r="I137" i="330"/>
  <c r="J137" i="330"/>
  <c r="I135" i="330"/>
  <c r="J135" i="330" s="1"/>
  <c r="I133" i="330"/>
  <c r="J133" i="330"/>
  <c r="A146" i="330"/>
  <c r="C146" i="330"/>
  <c r="C32" i="241"/>
  <c r="D146" i="330"/>
  <c r="E146" i="330"/>
  <c r="E32" i="241"/>
  <c r="F146" i="330"/>
  <c r="F32" i="241" s="1"/>
  <c r="G146" i="330"/>
  <c r="I146" i="330" s="1"/>
  <c r="J146" i="330" s="1"/>
  <c r="H146" i="330"/>
  <c r="K146" i="330"/>
  <c r="K32" i="241"/>
  <c r="I147" i="330"/>
  <c r="J147" i="330"/>
  <c r="A148" i="330"/>
  <c r="A149" i="330"/>
  <c r="C149" i="330"/>
  <c r="C34" i="241"/>
  <c r="D149" i="330"/>
  <c r="D34" i="241"/>
  <c r="E149" i="330"/>
  <c r="E34" i="241"/>
  <c r="E33" i="241"/>
  <c r="F149" i="330"/>
  <c r="F34" i="241"/>
  <c r="G149" i="330"/>
  <c r="G34" i="241"/>
  <c r="K149" i="330"/>
  <c r="I150" i="330"/>
  <c r="J150" i="330" s="1"/>
  <c r="I166" i="330"/>
  <c r="J166" i="330"/>
  <c r="I168" i="330"/>
  <c r="J168" i="330" s="1"/>
  <c r="I169" i="330"/>
  <c r="J169" i="330" s="1"/>
  <c r="I170" i="330"/>
  <c r="J170" i="330"/>
  <c r="K113" i="330"/>
  <c r="K24" i="241"/>
  <c r="H113" i="330"/>
  <c r="H24" i="24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5" i="330"/>
  <c r="J95" i="330"/>
  <c r="I94" i="330"/>
  <c r="J94" i="330" s="1"/>
  <c r="I96" i="330"/>
  <c r="J96" i="330" s="1"/>
  <c r="K76" i="330"/>
  <c r="K17" i="241"/>
  <c r="H76" i="330"/>
  <c r="H17" i="241"/>
  <c r="G76" i="330"/>
  <c r="G17" i="241"/>
  <c r="F76" i="330"/>
  <c r="F17" i="241"/>
  <c r="E76" i="330"/>
  <c r="E17" i="241"/>
  <c r="D17" i="241"/>
  <c r="C76" i="330"/>
  <c r="C17" i="241"/>
  <c r="I77" i="330"/>
  <c r="J77" i="330" s="1"/>
  <c r="I81" i="330"/>
  <c r="J81" i="330" s="1"/>
  <c r="I80" i="330"/>
  <c r="J80" i="330" s="1"/>
  <c r="I79" i="330"/>
  <c r="J79" i="330" s="1"/>
  <c r="I78" i="330"/>
  <c r="J78" i="330" s="1"/>
  <c r="I83" i="330"/>
  <c r="J83" i="330" s="1"/>
  <c r="I82" i="330"/>
  <c r="J82" i="330"/>
  <c r="K67" i="330"/>
  <c r="K15" i="241"/>
  <c r="H67" i="330"/>
  <c r="H15" i="241"/>
  <c r="G67" i="330"/>
  <c r="F67" i="330"/>
  <c r="F15" i="241"/>
  <c r="E67" i="330"/>
  <c r="E15" i="241"/>
  <c r="D67" i="330"/>
  <c r="C67" i="330"/>
  <c r="C15" i="241"/>
  <c r="H64" i="330"/>
  <c r="G64" i="330"/>
  <c r="G14" i="241"/>
  <c r="F64" i="330"/>
  <c r="F14" i="241" s="1"/>
  <c r="E64" i="330"/>
  <c r="E14" i="241"/>
  <c r="D64" i="330"/>
  <c r="D14" i="241"/>
  <c r="K64" i="330"/>
  <c r="K14" i="241"/>
  <c r="C64" i="330"/>
  <c r="C14" i="241"/>
  <c r="I69" i="330"/>
  <c r="J69" i="330"/>
  <c r="I68" i="330"/>
  <c r="J68" i="330"/>
  <c r="I71" i="330"/>
  <c r="J71" i="330"/>
  <c r="I70" i="330"/>
  <c r="J70" i="330"/>
  <c r="I66" i="330"/>
  <c r="J66" i="330" s="1"/>
  <c r="I65" i="330"/>
  <c r="J65" i="330" s="1"/>
  <c r="K49" i="330"/>
  <c r="K12" i="241"/>
  <c r="G49" i="330"/>
  <c r="F49" i="330"/>
  <c r="F12" i="241" s="1"/>
  <c r="E49" i="330"/>
  <c r="E12" i="241"/>
  <c r="D49" i="330"/>
  <c r="D12" i="241"/>
  <c r="C49" i="330"/>
  <c r="C12" i="241"/>
  <c r="I54" i="330"/>
  <c r="J54" i="330" s="1"/>
  <c r="I52" i="330"/>
  <c r="J52" i="330" s="1"/>
  <c r="I51" i="330"/>
  <c r="J51" i="330"/>
  <c r="I50" i="330"/>
  <c r="J50" i="330" s="1"/>
  <c r="C55" i="330"/>
  <c r="C13" i="241"/>
  <c r="D55" i="330"/>
  <c r="D13" i="241"/>
  <c r="E55" i="330"/>
  <c r="E13" i="24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14" i="175" s="1"/>
  <c r="L6" i="175"/>
  <c r="L5" i="175"/>
  <c r="X11" i="329"/>
  <c r="B61" i="100" s="1"/>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K14" i="175" s="1"/>
  <c r="N21" i="175"/>
  <c r="N14" i="175"/>
  <c r="K5" i="175"/>
  <c r="K19" i="175"/>
  <c r="C80" i="172"/>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H8" i="267" s="1"/>
  <c r="I8" i="267" s="1"/>
  <c r="F8" i="267"/>
  <c r="E8" i="267"/>
  <c r="D8" i="267"/>
  <c r="C8" i="267"/>
  <c r="C11" i="267"/>
  <c r="B10" i="267"/>
  <c r="B8" i="267"/>
  <c r="B9" i="267"/>
  <c r="C307" i="322"/>
  <c r="I90" i="318"/>
  <c r="J90" i="318" s="1"/>
  <c r="I78" i="318"/>
  <c r="J78" i="318" s="1"/>
  <c r="I77" i="318"/>
  <c r="J77" i="318" s="1"/>
  <c r="I76" i="318"/>
  <c r="J76" i="318" s="1"/>
  <c r="I75" i="318"/>
  <c r="J75" i="318" s="1"/>
  <c r="I63" i="318"/>
  <c r="J63" i="318"/>
  <c r="I61" i="318"/>
  <c r="J61" i="318"/>
  <c r="I60" i="318"/>
  <c r="J60" i="318"/>
  <c r="I59" i="318"/>
  <c r="J59" i="318"/>
  <c r="I58" i="318"/>
  <c r="J58" i="318"/>
  <c r="I57" i="318"/>
  <c r="J57" i="318"/>
  <c r="I41" i="318"/>
  <c r="J41" i="318"/>
  <c r="I39" i="318"/>
  <c r="J39" i="318" s="1"/>
  <c r="I36" i="318"/>
  <c r="J36" i="318" s="1"/>
  <c r="I37" i="318"/>
  <c r="J37" i="318" s="1"/>
  <c r="I38" i="318"/>
  <c r="J38" i="318" s="1"/>
  <c r="I42" i="318"/>
  <c r="J42" i="318" s="1"/>
  <c r="I43" i="318"/>
  <c r="J43" i="318"/>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c r="K174" i="323"/>
  <c r="K24" i="272"/>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G24" i="272"/>
  <c r="I40" i="182"/>
  <c r="J40" i="182" s="1"/>
  <c r="I41" i="182"/>
  <c r="J41" i="182" s="1"/>
  <c r="I39" i="182"/>
  <c r="J39" i="182" s="1"/>
  <c r="K70" i="268"/>
  <c r="K74" i="268"/>
  <c r="K57" i="268"/>
  <c r="G57" i="268"/>
  <c r="F57" i="268"/>
  <c r="E57" i="268"/>
  <c r="D57" i="268"/>
  <c r="C57" i="268"/>
  <c r="C118" i="330"/>
  <c r="C25" i="241"/>
  <c r="H37" i="241"/>
  <c r="E31" i="241"/>
  <c r="C8" i="241"/>
  <c r="J13" i="267"/>
  <c r="J14" i="267"/>
  <c r="J15" i="267"/>
  <c r="J17" i="267"/>
  <c r="G12" i="267"/>
  <c r="G13" i="267"/>
  <c r="G14" i="267"/>
  <c r="G15" i="267"/>
  <c r="F12" i="267"/>
  <c r="F13" i="267"/>
  <c r="F14" i="267"/>
  <c r="F18" i="267" s="1"/>
  <c r="F15" i="267"/>
  <c r="H15" i="267" s="1"/>
  <c r="I15" i="267" s="1"/>
  <c r="F16" i="267"/>
  <c r="F17" i="267"/>
  <c r="H17" i="267" s="1"/>
  <c r="I17" i="267" s="1"/>
  <c r="E12" i="267"/>
  <c r="E13" i="267"/>
  <c r="E14" i="267"/>
  <c r="E18" i="267" s="1"/>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H43" i="267" s="1"/>
  <c r="I43" i="267" s="1"/>
  <c r="K185" i="323"/>
  <c r="K25" i="272"/>
  <c r="K196" i="323"/>
  <c r="K26" i="272"/>
  <c r="K207" i="323"/>
  <c r="K218" i="323"/>
  <c r="K28" i="272"/>
  <c r="K229" i="323"/>
  <c r="K29" i="272"/>
  <c r="K39" i="272"/>
  <c r="K40" i="272"/>
  <c r="K240" i="323"/>
  <c r="K251" i="323"/>
  <c r="K31" i="272"/>
  <c r="K262" i="323"/>
  <c r="K273" i="323"/>
  <c r="K284" i="323"/>
  <c r="K34" i="272"/>
  <c r="K295" i="323"/>
  <c r="K306" i="323"/>
  <c r="K36" i="272"/>
  <c r="K317" i="323"/>
  <c r="K37" i="272"/>
  <c r="K328" i="323"/>
  <c r="K38" i="272"/>
  <c r="H196" i="323"/>
  <c r="I196" i="323" s="1"/>
  <c r="J196" i="323" s="1"/>
  <c r="H207" i="323"/>
  <c r="H27" i="272" s="1"/>
  <c r="I27" i="272" s="1"/>
  <c r="J27" i="272" s="1"/>
  <c r="H218" i="323"/>
  <c r="H28" i="272"/>
  <c r="I28" i="272" s="1"/>
  <c r="J28" i="272" s="1"/>
  <c r="H229" i="323"/>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196" i="323"/>
  <c r="G207" i="323"/>
  <c r="G218" i="323"/>
  <c r="G229" i="323"/>
  <c r="G240" i="323"/>
  <c r="G251" i="323"/>
  <c r="G262" i="323"/>
  <c r="G273" i="323"/>
  <c r="G33" i="272"/>
  <c r="I33" i="272"/>
  <c r="J33" i="272"/>
  <c r="G284" i="323"/>
  <c r="G295" i="323"/>
  <c r="G35" i="272"/>
  <c r="I35" i="272"/>
  <c r="J35" i="272"/>
  <c r="G306" i="323"/>
  <c r="G317" i="323"/>
  <c r="I317" i="323"/>
  <c r="J317" i="323"/>
  <c r="G328" i="323"/>
  <c r="F185" i="323"/>
  <c r="F25" i="272" s="1"/>
  <c r="F196" i="323"/>
  <c r="F207" i="323"/>
  <c r="F27" i="272"/>
  <c r="F218" i="323"/>
  <c r="F28" i="272"/>
  <c r="F229" i="323"/>
  <c r="F240" i="323"/>
  <c r="F30" i="272"/>
  <c r="F251" i="323"/>
  <c r="F31" i="272"/>
  <c r="F262" i="323"/>
  <c r="F32" i="272"/>
  <c r="F273" i="323"/>
  <c r="F284" i="323"/>
  <c r="F34" i="272"/>
  <c r="F295" i="323"/>
  <c r="F35" i="272"/>
  <c r="F306" i="323"/>
  <c r="F36" i="272"/>
  <c r="F317" i="323"/>
  <c r="F37" i="272"/>
  <c r="F328" i="323"/>
  <c r="E185" i="323"/>
  <c r="E25" i="272"/>
  <c r="E196" i="323"/>
  <c r="E26" i="272"/>
  <c r="E207" i="323"/>
  <c r="E27" i="272"/>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c r="K193" i="324"/>
  <c r="K28" i="268"/>
  <c r="K182" i="324"/>
  <c r="K27" i="268"/>
  <c r="K171" i="324"/>
  <c r="K26" i="268"/>
  <c r="K160" i="324"/>
  <c r="K25" i="268"/>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c r="D204" i="324"/>
  <c r="D29" i="268"/>
  <c r="G193" i="324"/>
  <c r="G28" i="268" s="1"/>
  <c r="H193" i="324"/>
  <c r="H28" i="268" s="1"/>
  <c r="F193" i="324"/>
  <c r="F28" i="268"/>
  <c r="E193" i="324"/>
  <c r="E28" i="268"/>
  <c r="D193" i="324"/>
  <c r="D28" i="268"/>
  <c r="G182" i="324"/>
  <c r="G27" i="268"/>
  <c r="H182" i="324"/>
  <c r="F182" i="324"/>
  <c r="F27" i="268" s="1"/>
  <c r="E182" i="324"/>
  <c r="E27" i="268"/>
  <c r="D182" i="324"/>
  <c r="D27" i="268"/>
  <c r="G171" i="324"/>
  <c r="G26" i="268" s="1"/>
  <c r="H171" i="324"/>
  <c r="H26" i="268" s="1"/>
  <c r="F171" i="324"/>
  <c r="F26" i="268"/>
  <c r="E171" i="324"/>
  <c r="E26" i="268"/>
  <c r="D171" i="324"/>
  <c r="D26" i="268"/>
  <c r="G160" i="324"/>
  <c r="G25" i="268" s="1"/>
  <c r="H160" i="324"/>
  <c r="H25" i="268" s="1"/>
  <c r="F160" i="324"/>
  <c r="F25" i="268" s="1"/>
  <c r="E160" i="324"/>
  <c r="E25" i="268"/>
  <c r="D160" i="324"/>
  <c r="D25" i="268"/>
  <c r="G149" i="324"/>
  <c r="H149" i="324"/>
  <c r="H24" i="268"/>
  <c r="F149" i="324"/>
  <c r="F24" i="268"/>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c r="K7" i="324"/>
  <c r="K6" i="268"/>
  <c r="H20" i="268"/>
  <c r="F20" i="268"/>
  <c r="G19" i="268"/>
  <c r="F19" i="268"/>
  <c r="G18" i="268"/>
  <c r="F18" i="268"/>
  <c r="G17" i="268"/>
  <c r="D17" i="268"/>
  <c r="F16" i="268"/>
  <c r="G15" i="268"/>
  <c r="F15" i="268"/>
  <c r="G14" i="268"/>
  <c r="G13" i="268"/>
  <c r="F13" i="268"/>
  <c r="G12" i="268"/>
  <c r="F12" i="268"/>
  <c r="G35" i="324"/>
  <c r="G11" i="268"/>
  <c r="F35" i="324"/>
  <c r="F11" i="268"/>
  <c r="E35" i="324"/>
  <c r="E11" i="268"/>
  <c r="D35" i="324"/>
  <c r="D11" i="268"/>
  <c r="G29" i="324"/>
  <c r="I29" i="324" s="1"/>
  <c r="J29" i="324" s="1"/>
  <c r="F29" i="324"/>
  <c r="F10" i="268" s="1"/>
  <c r="E29" i="324"/>
  <c r="E10" i="268"/>
  <c r="D29" i="324"/>
  <c r="D10" i="268"/>
  <c r="G23" i="324"/>
  <c r="G9" i="268"/>
  <c r="F23" i="324"/>
  <c r="F9" i="268"/>
  <c r="E23" i="324"/>
  <c r="E9" i="268"/>
  <c r="D23" i="324"/>
  <c r="D9" i="268"/>
  <c r="G18" i="324"/>
  <c r="G8" i="268" s="1"/>
  <c r="F18" i="324"/>
  <c r="F8" i="268"/>
  <c r="E18" i="324"/>
  <c r="E8" i="268"/>
  <c r="D18" i="324"/>
  <c r="D8" i="268"/>
  <c r="G12" i="324"/>
  <c r="G7" i="268" s="1"/>
  <c r="F12" i="324"/>
  <c r="F7" i="268" s="1"/>
  <c r="E12" i="324"/>
  <c r="E7" i="268"/>
  <c r="D12" i="324"/>
  <c r="D7" i="268"/>
  <c r="G7" i="324"/>
  <c r="G6" i="268"/>
  <c r="F7" i="324"/>
  <c r="F6" i="268" s="1"/>
  <c r="E7" i="324"/>
  <c r="E6" i="268"/>
  <c r="D7" i="324"/>
  <c r="D6" i="268"/>
  <c r="C19" i="268"/>
  <c r="C18" i="268"/>
  <c r="C17" i="268"/>
  <c r="C15" i="268"/>
  <c r="C14" i="268"/>
  <c r="C13" i="268"/>
  <c r="C35" i="324"/>
  <c r="C11" i="268"/>
  <c r="C29" i="324"/>
  <c r="C10" i="268"/>
  <c r="C23" i="324"/>
  <c r="C9" i="268"/>
  <c r="C18" i="324"/>
  <c r="C8" i="268"/>
  <c r="C12" i="324"/>
  <c r="C7" i="268"/>
  <c r="C7" i="324"/>
  <c r="C6" i="268"/>
  <c r="D70" i="268"/>
  <c r="D74" i="268"/>
  <c r="E70" i="268"/>
  <c r="E74" i="268"/>
  <c r="F70" i="268"/>
  <c r="F74" i="268" s="1"/>
  <c r="G70" i="268"/>
  <c r="F29" i="267"/>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104" i="330"/>
  <c r="K22" i="241"/>
  <c r="K108" i="330"/>
  <c r="K23" i="241"/>
  <c r="K118" i="330"/>
  <c r="K25" i="241"/>
  <c r="K129" i="330"/>
  <c r="K177" i="330"/>
  <c r="K36" i="241"/>
  <c r="K33" i="241"/>
  <c r="K49" i="241"/>
  <c r="K50" i="241"/>
  <c r="K189" i="330"/>
  <c r="K38" i="241"/>
  <c r="K198" i="330"/>
  <c r="K40" i="241"/>
  <c r="K209" i="330"/>
  <c r="K41" i="241"/>
  <c r="K214" i="330"/>
  <c r="K42" i="241"/>
  <c r="K222" i="330"/>
  <c r="K44" i="241"/>
  <c r="K226" i="330"/>
  <c r="K45" i="241"/>
  <c r="K230" i="330"/>
  <c r="K46" i="241"/>
  <c r="K240" i="330"/>
  <c r="K48" i="241"/>
  <c r="H7" i="330"/>
  <c r="H7" i="241" s="1"/>
  <c r="H24" i="330"/>
  <c r="H9" i="241"/>
  <c r="H92" i="330"/>
  <c r="H19" i="241" s="1"/>
  <c r="H100" i="330"/>
  <c r="H21" i="241"/>
  <c r="H129" i="330"/>
  <c r="H189" i="330"/>
  <c r="H38" i="241" s="1"/>
  <c r="H209" i="330"/>
  <c r="H226" i="330"/>
  <c r="H45" i="241"/>
  <c r="G7" i="330"/>
  <c r="G7" i="241"/>
  <c r="G24" i="330"/>
  <c r="G87" i="330"/>
  <c r="G18" i="241" s="1"/>
  <c r="G92" i="330"/>
  <c r="G100" i="330"/>
  <c r="G21" i="241" s="1"/>
  <c r="G104" i="330"/>
  <c r="G22" i="241"/>
  <c r="G108" i="330"/>
  <c r="G23" i="241"/>
  <c r="G118" i="330"/>
  <c r="G25" i="241" s="1"/>
  <c r="G129" i="330"/>
  <c r="G30" i="241" s="1"/>
  <c r="G177" i="330"/>
  <c r="G36" i="241" s="1"/>
  <c r="I36" i="241" s="1"/>
  <c r="J36" i="241" s="1"/>
  <c r="G189" i="330"/>
  <c r="G38" i="241"/>
  <c r="G198" i="330"/>
  <c r="G40" i="241"/>
  <c r="G209" i="330"/>
  <c r="G41" i="241"/>
  <c r="G214" i="330"/>
  <c r="G42" i="241" s="1"/>
  <c r="G222" i="330"/>
  <c r="G44" i="241" s="1"/>
  <c r="G226" i="330"/>
  <c r="G230" i="330"/>
  <c r="G46" i="241"/>
  <c r="G240" i="330"/>
  <c r="F7" i="330"/>
  <c r="F7" i="241"/>
  <c r="F24" i="330"/>
  <c r="F87" i="330"/>
  <c r="F18" i="241" s="1"/>
  <c r="F92" i="330"/>
  <c r="F19" i="241"/>
  <c r="F100" i="330"/>
  <c r="F104" i="330"/>
  <c r="F108" i="330"/>
  <c r="F23" i="241"/>
  <c r="F118" i="330"/>
  <c r="F25" i="241" s="1"/>
  <c r="F129" i="330"/>
  <c r="F30" i="241" s="1"/>
  <c r="F177" i="330"/>
  <c r="F36" i="241"/>
  <c r="F189" i="330"/>
  <c r="F38" i="241"/>
  <c r="F198" i="330"/>
  <c r="F40" i="241" s="1"/>
  <c r="F209" i="330"/>
  <c r="F41" i="241"/>
  <c r="F214" i="330"/>
  <c r="F42" i="241" s="1"/>
  <c r="F222" i="330"/>
  <c r="F44" i="241" s="1"/>
  <c r="F226" i="330"/>
  <c r="F45" i="241" s="1"/>
  <c r="F230" i="330"/>
  <c r="F46" i="241" s="1"/>
  <c r="F240" i="330"/>
  <c r="F48" i="241" s="1"/>
  <c r="E7" i="330"/>
  <c r="E7" i="241"/>
  <c r="E24" i="330"/>
  <c r="E9" i="241"/>
  <c r="E87" i="330"/>
  <c r="E18" i="241"/>
  <c r="E92" i="330"/>
  <c r="E19" i="241"/>
  <c r="E100" i="330"/>
  <c r="E21" i="241"/>
  <c r="E104" i="330"/>
  <c r="E108" i="330"/>
  <c r="E23" i="241"/>
  <c r="E118" i="330"/>
  <c r="E25" i="241"/>
  <c r="E129" i="330"/>
  <c r="E30" i="241"/>
  <c r="E177" i="330"/>
  <c r="E36" i="241"/>
  <c r="E189" i="330"/>
  <c r="E38" i="241"/>
  <c r="E198" i="330"/>
  <c r="E40" i="241"/>
  <c r="E209" i="330"/>
  <c r="E41" i="241"/>
  <c r="E214" i="330"/>
  <c r="E42" i="241"/>
  <c r="E222" i="330"/>
  <c r="E44" i="241"/>
  <c r="E226" i="330"/>
  <c r="E45" i="241"/>
  <c r="E230" i="330"/>
  <c r="E46" i="241"/>
  <c r="E240" i="330"/>
  <c r="E48" i="241"/>
  <c r="D7" i="330"/>
  <c r="D7" i="241"/>
  <c r="D24" i="330"/>
  <c r="D9" i="241"/>
  <c r="D87" i="330"/>
  <c r="D18" i="241"/>
  <c r="D92" i="330"/>
  <c r="D19" i="241"/>
  <c r="D100" i="330"/>
  <c r="D104" i="330"/>
  <c r="D22" i="241"/>
  <c r="D108" i="330"/>
  <c r="D23" i="241"/>
  <c r="D118" i="330"/>
  <c r="D25" i="241"/>
  <c r="D129" i="330"/>
  <c r="D32" i="241"/>
  <c r="D177" i="330"/>
  <c r="D148" i="330"/>
  <c r="D247" i="330"/>
  <c r="D189" i="330"/>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c r="I195" i="330"/>
  <c r="J195" i="330"/>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c r="I103" i="330"/>
  <c r="J103" i="330" s="1"/>
  <c r="I101" i="330"/>
  <c r="J101" i="330" s="1"/>
  <c r="I98" i="330"/>
  <c r="J98" i="330"/>
  <c r="I97" i="330"/>
  <c r="J97" i="330" s="1"/>
  <c r="I93" i="330"/>
  <c r="J93" i="330" s="1"/>
  <c r="I91" i="330"/>
  <c r="J91" i="330" s="1"/>
  <c r="I90" i="330"/>
  <c r="J90" i="330"/>
  <c r="I89" i="330"/>
  <c r="J89" i="330" s="1"/>
  <c r="I86" i="330"/>
  <c r="J86" i="330" s="1"/>
  <c r="I85" i="330"/>
  <c r="J85" i="330" s="1"/>
  <c r="I84" i="330"/>
  <c r="J84" i="330"/>
  <c r="I74" i="330"/>
  <c r="J74" i="330"/>
  <c r="I73" i="330"/>
  <c r="J73" i="330"/>
  <c r="I72" i="330"/>
  <c r="J72" i="330"/>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37" i="177"/>
  <c r="F37" i="177"/>
  <c r="E45" i="267"/>
  <c r="E37" i="177"/>
  <c r="D45" i="267"/>
  <c r="D37" i="177"/>
  <c r="C45" i="267"/>
  <c r="C37" i="177"/>
  <c r="B45" i="267"/>
  <c r="K28" i="177"/>
  <c r="J44" i="267"/>
  <c r="H28" i="177"/>
  <c r="G44" i="267" s="1"/>
  <c r="H44" i="267" s="1"/>
  <c r="I44" i="267" s="1"/>
  <c r="G28" i="177"/>
  <c r="F28" i="177"/>
  <c r="E44" i="267"/>
  <c r="E28" i="177"/>
  <c r="D44" i="267"/>
  <c r="C28" i="177"/>
  <c r="B44" i="267"/>
  <c r="K18" i="177"/>
  <c r="J43" i="267"/>
  <c r="G18" i="177"/>
  <c r="F43" i="267"/>
  <c r="F18" i="177"/>
  <c r="E18" i="177"/>
  <c r="D43" i="267"/>
  <c r="E77" i="100"/>
  <c r="E46" i="267"/>
  <c r="G48" i="178"/>
  <c r="J40" i="267"/>
  <c r="G40" i="178"/>
  <c r="J39" i="267"/>
  <c r="G35" i="178"/>
  <c r="H53" i="174"/>
  <c r="G13" i="178"/>
  <c r="E48" i="178"/>
  <c r="D40" i="267"/>
  <c r="D48" i="178"/>
  <c r="C40" i="267"/>
  <c r="E40" i="178"/>
  <c r="D39" i="267"/>
  <c r="D40" i="178"/>
  <c r="C39" i="267"/>
  <c r="E35" i="178"/>
  <c r="D38" i="267"/>
  <c r="D35" i="178"/>
  <c r="C38" i="267"/>
  <c r="D37" i="267"/>
  <c r="E13" i="178"/>
  <c r="D36" i="267"/>
  <c r="D13" i="178"/>
  <c r="C48" i="178"/>
  <c r="B40" i="267"/>
  <c r="C40" i="178"/>
  <c r="C35" i="178"/>
  <c r="B38" i="267"/>
  <c r="B37" i="267"/>
  <c r="C13" i="178"/>
  <c r="B36" i="267"/>
  <c r="J32" i="267"/>
  <c r="J31" i="267"/>
  <c r="G32" i="267"/>
  <c r="F32" i="267"/>
  <c r="E32" i="267"/>
  <c r="D32" i="267"/>
  <c r="C32" i="267"/>
  <c r="G31" i="267"/>
  <c r="H31" i="267" s="1"/>
  <c r="I31" i="267" s="1"/>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F36" i="182"/>
  <c r="E36" i="182"/>
  <c r="D36" i="182"/>
  <c r="C18" i="267"/>
  <c r="C36" i="182"/>
  <c r="F6" i="267"/>
  <c r="F9" i="267"/>
  <c r="G6" i="267"/>
  <c r="G9" i="267"/>
  <c r="I6" i="182"/>
  <c r="J6" i="182" s="1"/>
  <c r="I7" i="182"/>
  <c r="J7" i="182" s="1"/>
  <c r="I8" i="182"/>
  <c r="J8" i="182" s="1"/>
  <c r="I9" i="182"/>
  <c r="J9" i="182" s="1"/>
  <c r="I10" i="182"/>
  <c r="J10" i="182" s="1"/>
  <c r="I13" i="182"/>
  <c r="J13" i="182" s="1"/>
  <c r="I14" i="182"/>
  <c r="J14" i="182"/>
  <c r="I19" i="182"/>
  <c r="J19" i="182"/>
  <c r="E6" i="267"/>
  <c r="E9" i="267"/>
  <c r="D6" i="267"/>
  <c r="D9" i="267"/>
  <c r="E38" i="182"/>
  <c r="E42" i="182"/>
  <c r="E44" i="182"/>
  <c r="E46" i="182"/>
  <c r="E48" i="182"/>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K7" i="173"/>
  <c r="K8" i="173"/>
  <c r="K15" i="173" s="1"/>
  <c r="J52" i="267" s="1"/>
  <c r="K9" i="173"/>
  <c r="K10" i="173"/>
  <c r="F104" i="172"/>
  <c r="K11" i="173"/>
  <c r="G104" i="172" s="1"/>
  <c r="K12" i="173"/>
  <c r="K13" i="173"/>
  <c r="I104" i="172"/>
  <c r="K14" i="173"/>
  <c r="G45" i="267"/>
  <c r="C14" i="175"/>
  <c r="B50" i="267"/>
  <c r="D14" i="175"/>
  <c r="C53" i="172"/>
  <c r="E14" i="175"/>
  <c r="D50" i="267"/>
  <c r="F14" i="175"/>
  <c r="G14" i="175"/>
  <c r="F53" i="172" s="1"/>
  <c r="H14" i="175"/>
  <c r="I14" i="175"/>
  <c r="H53" i="172"/>
  <c r="J14" i="175"/>
  <c r="I53" i="172"/>
  <c r="K40" i="177"/>
  <c r="B29" i="267"/>
  <c r="D29" i="267"/>
  <c r="D33" i="267"/>
  <c r="C6" i="323"/>
  <c r="C17" i="323"/>
  <c r="C7" i="272"/>
  <c r="C28" i="323"/>
  <c r="C8" i="272"/>
  <c r="C39" i="323"/>
  <c r="C9" i="272"/>
  <c r="C50" i="323"/>
  <c r="C10" i="272"/>
  <c r="C61" i="323"/>
  <c r="C11" i="272"/>
  <c r="C72" i="323"/>
  <c r="C83" i="323"/>
  <c r="C13" i="272"/>
  <c r="C94" i="323"/>
  <c r="C14" i="272"/>
  <c r="C105" i="323"/>
  <c r="C15" i="272"/>
  <c r="H6" i="323"/>
  <c r="I6" i="323" s="1"/>
  <c r="J6" i="323" s="1"/>
  <c r="H28" i="323"/>
  <c r="H8" i="272" s="1"/>
  <c r="H39" i="323"/>
  <c r="H9" i="272" s="1"/>
  <c r="I9" i="272" s="1"/>
  <c r="J9" i="272" s="1"/>
  <c r="H50" i="323"/>
  <c r="H61" i="323"/>
  <c r="H11" i="272" s="1"/>
  <c r="H72" i="323"/>
  <c r="H12" i="272"/>
  <c r="H83" i="323"/>
  <c r="H13" i="272"/>
  <c r="H94" i="323"/>
  <c r="I94" i="323"/>
  <c r="J94" i="323"/>
  <c r="G6" i="323"/>
  <c r="G17" i="323"/>
  <c r="G7" i="272" s="1"/>
  <c r="G28" i="323"/>
  <c r="I28" i="323" s="1"/>
  <c r="J28" i="323" s="1"/>
  <c r="G39" i="323"/>
  <c r="G50" i="323"/>
  <c r="G10" i="272" s="1"/>
  <c r="I10" i="272" s="1"/>
  <c r="J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17" i="323"/>
  <c r="E28" i="323"/>
  <c r="E8" i="272"/>
  <c r="E39" i="323"/>
  <c r="E9" i="272"/>
  <c r="E50" i="323"/>
  <c r="E10" i="272"/>
  <c r="E61" i="323"/>
  <c r="E11" i="272"/>
  <c r="E72" i="323"/>
  <c r="E83" i="323"/>
  <c r="E13" i="272"/>
  <c r="E94" i="323"/>
  <c r="E14" i="272"/>
  <c r="F6" i="323"/>
  <c r="F17" i="323"/>
  <c r="F7" i="272" s="1"/>
  <c r="F28" i="323"/>
  <c r="F8" i="272" s="1"/>
  <c r="F39" i="323"/>
  <c r="F9" i="272"/>
  <c r="F50" i="323"/>
  <c r="F10" i="272"/>
  <c r="F61" i="323"/>
  <c r="F11" i="272" s="1"/>
  <c r="F72" i="323"/>
  <c r="F12" i="272"/>
  <c r="F83" i="323"/>
  <c r="F13" i="272"/>
  <c r="F94" i="323"/>
  <c r="F14" i="272"/>
  <c r="K6" i="323"/>
  <c r="K6" i="272"/>
  <c r="K17" i="323"/>
  <c r="K7" i="272"/>
  <c r="K28" i="323"/>
  <c r="K8" i="272"/>
  <c r="K39" i="323"/>
  <c r="K9" i="272"/>
  <c r="K50" i="323"/>
  <c r="K10" i="272"/>
  <c r="K61" i="323"/>
  <c r="K11" i="272"/>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c r="I41" i="323"/>
  <c r="J41" i="323" s="1"/>
  <c r="I40" i="323"/>
  <c r="J40" i="323" s="1"/>
  <c r="I38" i="323"/>
  <c r="J38" i="323"/>
  <c r="I37" i="323"/>
  <c r="J37" i="323"/>
  <c r="I36" i="323"/>
  <c r="J36" i="323"/>
  <c r="I35" i="323"/>
  <c r="J35" i="323"/>
  <c r="I34" i="323"/>
  <c r="J34" i="323"/>
  <c r="I33" i="323"/>
  <c r="J33" i="323"/>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c r="I20" i="323"/>
  <c r="J20" i="323" s="1"/>
  <c r="I19" i="323"/>
  <c r="J19" i="323" s="1"/>
  <c r="I18" i="323"/>
  <c r="J18" i="323"/>
  <c r="I16" i="323"/>
  <c r="J16" i="323"/>
  <c r="I15" i="323"/>
  <c r="J15" i="323"/>
  <c r="I14" i="323"/>
  <c r="J14" i="323"/>
  <c r="I13" i="323"/>
  <c r="J13" i="323"/>
  <c r="I12" i="323"/>
  <c r="J12" i="323"/>
  <c r="I11" i="323"/>
  <c r="J11" i="323"/>
  <c r="I10" i="323"/>
  <c r="J10" i="323"/>
  <c r="I9" i="323"/>
  <c r="J9" i="323"/>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29" i="272"/>
  <c r="I29" i="272" s="1"/>
  <c r="J29" i="272" s="1"/>
  <c r="G30" i="272"/>
  <c r="I30" i="272"/>
  <c r="J30" i="272"/>
  <c r="G31" i="272"/>
  <c r="G32" i="272"/>
  <c r="I32" i="272"/>
  <c r="J32" i="272"/>
  <c r="H32" i="272"/>
  <c r="K27" i="272"/>
  <c r="K30" i="272"/>
  <c r="K32" i="272"/>
  <c r="F26" i="272"/>
  <c r="F29"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c r="I186" i="324"/>
  <c r="J186" i="324" s="1"/>
  <c r="I185" i="324"/>
  <c r="J185" i="324" s="1"/>
  <c r="I184" i="324"/>
  <c r="J184" i="324"/>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63" i="268"/>
  <c r="K47" i="268"/>
  <c r="K53" i="268"/>
  <c r="G43" i="268"/>
  <c r="G47" i="268"/>
  <c r="I47" i="268" s="1"/>
  <c r="J47" i="268" s="1"/>
  <c r="G53" i="268"/>
  <c r="F43" i="268"/>
  <c r="F47" i="268"/>
  <c r="F53" i="268"/>
  <c r="E43" i="268"/>
  <c r="E47" i="268"/>
  <c r="E63"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G14" i="174" s="1"/>
  <c r="F13" i="178"/>
  <c r="G52" i="174" s="1"/>
  <c r="F48" i="178"/>
  <c r="G49" i="174" s="1"/>
  <c r="F37" i="267"/>
  <c r="E26" i="178"/>
  <c r="C26" i="178"/>
  <c r="A49" i="178"/>
  <c r="A2" i="178"/>
  <c r="G3" i="178"/>
  <c r="F3" i="178"/>
  <c r="E3" i="178"/>
  <c r="D3" i="178"/>
  <c r="C3" i="178"/>
  <c r="B2" i="178"/>
  <c r="F40" i="178"/>
  <c r="E41" i="178"/>
  <c r="I7" i="177"/>
  <c r="J7" i="177" s="1"/>
  <c r="I10" i="177"/>
  <c r="J10" i="177" s="1"/>
  <c r="I11" i="177"/>
  <c r="J11" i="177" s="1"/>
  <c r="I12" i="177"/>
  <c r="J12" i="177" s="1"/>
  <c r="I13" i="177"/>
  <c r="J13" i="177"/>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H104" i="172"/>
  <c r="E104" i="172"/>
  <c r="C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F12" i="180"/>
  <c r="F11" i="180"/>
  <c r="B33" i="172"/>
  <c r="F10" i="180"/>
  <c r="F9" i="180"/>
  <c r="I9" i="180" s="1"/>
  <c r="F8" i="180"/>
  <c r="B30" i="172" s="1"/>
  <c r="F7" i="180"/>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c r="B81" i="172" s="1"/>
  <c r="K18" i="175"/>
  <c r="K21" i="175" s="1"/>
  <c r="K17" i="175"/>
  <c r="C78" i="172"/>
  <c r="B78" i="172" s="1"/>
  <c r="I54" i="172"/>
  <c r="H54" i="172"/>
  <c r="G54" i="172"/>
  <c r="F54" i="172"/>
  <c r="E54" i="172"/>
  <c r="D54" i="172"/>
  <c r="C54" i="172"/>
  <c r="B54" i="172"/>
  <c r="E53" i="172"/>
  <c r="D53" i="172"/>
  <c r="B53" i="172"/>
  <c r="B15" i="251"/>
  <c r="B10" i="251"/>
  <c r="B5" i="251"/>
  <c r="A41" i="251"/>
  <c r="B2" i="251"/>
  <c r="A2" i="251"/>
  <c r="E93" i="100"/>
  <c r="A5" i="181"/>
  <c r="G36" i="181"/>
  <c r="I43" i="181"/>
  <c r="J43" i="181"/>
  <c r="I41" i="181"/>
  <c r="J41" i="181" s="1"/>
  <c r="I40" i="181"/>
  <c r="J40" i="181"/>
  <c r="I39" i="181"/>
  <c r="J39" i="181" s="1"/>
  <c r="I35" i="181"/>
  <c r="J35" i="181" s="1"/>
  <c r="I34" i="181"/>
  <c r="J34" i="181" s="1"/>
  <c r="I32" i="181"/>
  <c r="J32" i="181"/>
  <c r="I31" i="181"/>
  <c r="J31" i="181" s="1"/>
  <c r="I30" i="181"/>
  <c r="J30" i="181" s="1"/>
  <c r="I28" i="181"/>
  <c r="J28" i="181" s="1"/>
  <c r="I27" i="181"/>
  <c r="J27" i="181"/>
  <c r="I26" i="181"/>
  <c r="J26" i="181" s="1"/>
  <c r="I21" i="181"/>
  <c r="J21" i="181"/>
  <c r="I20" i="181"/>
  <c r="J20" i="181" s="1"/>
  <c r="I19" i="181"/>
  <c r="J19" i="181" s="1"/>
  <c r="I18" i="181"/>
  <c r="J18" i="181"/>
  <c r="I17" i="181"/>
  <c r="J17" i="181" s="1"/>
  <c r="I15" i="181"/>
  <c r="J15" i="181"/>
  <c r="I13" i="181"/>
  <c r="J13" i="181" s="1"/>
  <c r="I9" i="181"/>
  <c r="J9" i="181" s="1"/>
  <c r="I8" i="181"/>
  <c r="J8" i="181" s="1"/>
  <c r="I7" i="181"/>
  <c r="J7" i="181" s="1"/>
  <c r="I6" i="181"/>
  <c r="J6" i="181" s="1"/>
  <c r="K36" i="181"/>
  <c r="K38" i="181"/>
  <c r="K42" i="181"/>
  <c r="K44" i="181"/>
  <c r="F36" i="181"/>
  <c r="E36" i="181"/>
  <c r="E38" i="181"/>
  <c r="E42" i="18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I11" i="18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c r="I37" i="242"/>
  <c r="J37" i="242" s="1"/>
  <c r="I70" i="242"/>
  <c r="J70" i="242" s="1"/>
  <c r="I71" i="242"/>
  <c r="J71" i="242"/>
  <c r="I72" i="242"/>
  <c r="J72" i="242" s="1"/>
  <c r="I73" i="242"/>
  <c r="J73" i="242" s="1"/>
  <c r="J74" i="242"/>
  <c r="I149" i="242"/>
  <c r="J149" i="242"/>
  <c r="I146" i="242"/>
  <c r="J146" i="242"/>
  <c r="I139" i="242"/>
  <c r="J139" i="242"/>
  <c r="I133" i="242"/>
  <c r="J133" i="242"/>
  <c r="I132" i="242"/>
  <c r="J132" i="242"/>
  <c r="I131" i="242"/>
  <c r="J131" i="242"/>
  <c r="I129" i="242"/>
  <c r="J129" i="242"/>
  <c r="I128" i="242"/>
  <c r="J128" i="242"/>
  <c r="I127" i="242"/>
  <c r="J127" i="242"/>
  <c r="I126" i="242"/>
  <c r="J126" i="242"/>
  <c r="I125" i="242"/>
  <c r="J125" i="242"/>
  <c r="I124" i="242"/>
  <c r="J124" i="242"/>
  <c r="I123" i="242"/>
  <c r="J123" i="242"/>
  <c r="I119" i="242"/>
  <c r="J119" i="242" s="1"/>
  <c r="I102" i="242"/>
  <c r="J102" i="242" s="1"/>
  <c r="I100" i="242"/>
  <c r="J100" i="242"/>
  <c r="I98" i="242"/>
  <c r="J98" i="242" s="1"/>
  <c r="I97" i="242"/>
  <c r="J97" i="242" s="1"/>
  <c r="I95" i="242"/>
  <c r="J95" i="242"/>
  <c r="I94" i="242"/>
  <c r="J94" i="242" s="1"/>
  <c r="I93" i="242"/>
  <c r="J93" i="242" s="1"/>
  <c r="I91" i="242"/>
  <c r="J91" i="242"/>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c r="E42" i="174"/>
  <c r="E44" i="174"/>
  <c r="H40" i="174"/>
  <c r="G40" i="174"/>
  <c r="F40" i="174"/>
  <c r="F26" i="174"/>
  <c r="E40" i="174"/>
  <c r="D42" i="174"/>
  <c r="D44" i="174"/>
  <c r="D27" i="174"/>
  <c r="D40" i="174"/>
  <c r="D26" i="174"/>
  <c r="H63" i="174"/>
  <c r="H18" i="174"/>
  <c r="G63" i="174"/>
  <c r="G18" i="174" s="1"/>
  <c r="F63" i="174"/>
  <c r="F18" i="174"/>
  <c r="E63" i="174"/>
  <c r="E18" i="174"/>
  <c r="H59" i="174"/>
  <c r="G59" i="174"/>
  <c r="F59" i="174"/>
  <c r="E59" i="174"/>
  <c r="D63" i="174"/>
  <c r="D18" i="174"/>
  <c r="D59" i="174"/>
  <c r="D17" i="174"/>
  <c r="F53" i="174"/>
  <c r="F13" i="174"/>
  <c r="E53" i="174"/>
  <c r="D53" i="174"/>
  <c r="D14" i="174"/>
  <c r="F52" i="174"/>
  <c r="D52" i="174"/>
  <c r="H51" i="174"/>
  <c r="H50" i="174"/>
  <c r="G51" i="174"/>
  <c r="G50" i="174"/>
  <c r="G11" i="174" s="1"/>
  <c r="F51" i="174"/>
  <c r="F11" i="174"/>
  <c r="F50" i="174"/>
  <c r="E51" i="174"/>
  <c r="E50" i="174"/>
  <c r="D51" i="174"/>
  <c r="D11" i="174"/>
  <c r="D50" i="174"/>
  <c r="H48" i="174"/>
  <c r="H49"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H26" i="175" s="1"/>
  <c r="H27" i="175" s="1"/>
  <c r="G21" i="175"/>
  <c r="G26" i="175" s="1"/>
  <c r="G27" i="175" s="1"/>
  <c r="F21" i="175"/>
  <c r="E21" i="175"/>
  <c r="E26" i="175"/>
  <c r="E27" i="175" s="1"/>
  <c r="D21" i="175"/>
  <c r="C21" i="175"/>
  <c r="C26" i="175"/>
  <c r="C27" i="175" s="1"/>
  <c r="A2" i="175"/>
  <c r="M14" i="175"/>
  <c r="M21" i="175"/>
  <c r="L15" i="173"/>
  <c r="A2" i="173"/>
  <c r="C36" i="270"/>
  <c r="C57" i="270"/>
  <c r="I60" i="270"/>
  <c r="J60" i="270"/>
  <c r="K45" i="270"/>
  <c r="G45" i="270"/>
  <c r="F45" i="270"/>
  <c r="E45" i="270"/>
  <c r="D45" i="270"/>
  <c r="K59" i="270"/>
  <c r="G59" i="270"/>
  <c r="H59" i="270"/>
  <c r="F59" i="270"/>
  <c r="E59" i="270"/>
  <c r="D59" i="270"/>
  <c r="I58" i="270"/>
  <c r="J58" i="270"/>
  <c r="K57" i="270"/>
  <c r="G57" i="270"/>
  <c r="H57" i="270"/>
  <c r="F57" i="270"/>
  <c r="E57" i="270"/>
  <c r="E61"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K45" i="269"/>
  <c r="G45" i="269"/>
  <c r="G62" i="269" s="1"/>
  <c r="G64" i="269" s="1"/>
  <c r="F45" i="269"/>
  <c r="E45" i="269"/>
  <c r="D45" i="269"/>
  <c r="C45" i="269"/>
  <c r="K36" i="269"/>
  <c r="G36" i="269"/>
  <c r="F36" i="269"/>
  <c r="F62" i="269" s="1"/>
  <c r="F64" i="269" s="1"/>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H67" i="318"/>
  <c r="K14" i="318"/>
  <c r="K15" i="318"/>
  <c r="K30" i="318"/>
  <c r="K31" i="318"/>
  <c r="K46" i="318"/>
  <c r="K47" i="318"/>
  <c r="K67" i="318"/>
  <c r="E14" i="318"/>
  <c r="E15" i="318"/>
  <c r="E30" i="318"/>
  <c r="E46" i="318"/>
  <c r="E67" i="318"/>
  <c r="E68" i="318"/>
  <c r="E83" i="318"/>
  <c r="E84" i="318"/>
  <c r="E99" i="318"/>
  <c r="D14" i="318"/>
  <c r="D15" i="318"/>
  <c r="D30" i="318"/>
  <c r="D31" i="318"/>
  <c r="D46" i="318"/>
  <c r="D47" i="318"/>
  <c r="D67" i="318"/>
  <c r="D68" i="318"/>
  <c r="D83" i="318"/>
  <c r="D99" i="318"/>
  <c r="D100" i="318"/>
  <c r="C83" i="318"/>
  <c r="C14" i="318"/>
  <c r="I98" i="318"/>
  <c r="J98" i="318"/>
  <c r="I97" i="318"/>
  <c r="J97" i="318" s="1"/>
  <c r="I96" i="318"/>
  <c r="J96" i="318"/>
  <c r="I95" i="318"/>
  <c r="J95" i="318"/>
  <c r="I94" i="318"/>
  <c r="J94" i="318" s="1"/>
  <c r="I93" i="318"/>
  <c r="J93" i="318" s="1"/>
  <c r="I87" i="318"/>
  <c r="J87" i="318" s="1"/>
  <c r="I82" i="318"/>
  <c r="J82" i="318" s="1"/>
  <c r="I81" i="318"/>
  <c r="J81" i="318"/>
  <c r="I80" i="318"/>
  <c r="J80" i="318" s="1"/>
  <c r="I79" i="318"/>
  <c r="J79" i="318" s="1"/>
  <c r="I74" i="318"/>
  <c r="J74" i="318"/>
  <c r="I73" i="318"/>
  <c r="J73" i="318" s="1"/>
  <c r="I72" i="318"/>
  <c r="J72" i="318" s="1"/>
  <c r="I71" i="318"/>
  <c r="J71" i="318" s="1"/>
  <c r="I66" i="318"/>
  <c r="J66" i="318"/>
  <c r="I65" i="318"/>
  <c r="J65" i="318"/>
  <c r="I64" i="318"/>
  <c r="J64" i="318"/>
  <c r="I62" i="318"/>
  <c r="J62" i="318"/>
  <c r="I56" i="318"/>
  <c r="J56" i="318"/>
  <c r="I55" i="318"/>
  <c r="J55" i="318"/>
  <c r="I54" i="318"/>
  <c r="J54" i="318"/>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J11" i="180"/>
  <c r="I8" i="180"/>
  <c r="E44" i="181"/>
  <c r="I24" i="267"/>
  <c r="I16" i="272"/>
  <c r="J16" i="272"/>
  <c r="H11" i="180"/>
  <c r="F9" i="241"/>
  <c r="G45" i="241"/>
  <c r="I45" i="241"/>
  <c r="J45" i="241" s="1"/>
  <c r="G15" i="241"/>
  <c r="I15" i="241"/>
  <c r="J15" i="241"/>
  <c r="K21" i="241"/>
  <c r="D21"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J17" i="180"/>
  <c r="B29" i="172"/>
  <c r="G6" i="272"/>
  <c r="D7" i="272"/>
  <c r="E39" i="177"/>
  <c r="E41" i="177"/>
  <c r="D46" i="267"/>
  <c r="A83" i="323"/>
  <c r="A127" i="323"/>
  <c r="A33" i="268"/>
  <c r="A29" i="268"/>
  <c r="A25" i="268"/>
  <c r="I17" i="180"/>
  <c r="K7" i="241"/>
  <c r="E6" i="272"/>
  <c r="G19" i="241"/>
  <c r="H30" i="241"/>
  <c r="B81" i="100"/>
  <c r="A31" i="268"/>
  <c r="A61" i="323"/>
  <c r="A27" i="268"/>
  <c r="A35" i="324"/>
  <c r="B4" i="100"/>
  <c r="B103" i="100"/>
  <c r="A26" i="172"/>
  <c r="F8" i="334"/>
  <c r="G9" i="334"/>
  <c r="F25" i="334"/>
  <c r="G25" i="334"/>
  <c r="F41" i="334"/>
  <c r="G45" i="334"/>
  <c r="F22" i="334"/>
  <c r="I16" i="183"/>
  <c r="J16" i="183"/>
  <c r="J37" i="267"/>
  <c r="J15" i="180"/>
  <c r="B37" i="172"/>
  <c r="H15" i="180"/>
  <c r="J13" i="180"/>
  <c r="C28" i="272"/>
  <c r="D17" i="272"/>
  <c r="I72" i="323"/>
  <c r="J72" i="323"/>
  <c r="C31" i="183"/>
  <c r="F45" i="267"/>
  <c r="H45" i="267"/>
  <c r="I45" i="267" s="1"/>
  <c r="I37" i="177"/>
  <c r="J37" i="177" s="1"/>
  <c r="H15" i="272"/>
  <c r="I105" i="323"/>
  <c r="J105" i="323"/>
  <c r="J29" i="267"/>
  <c r="J33" i="267"/>
  <c r="B100" i="100"/>
  <c r="K117" i="326"/>
  <c r="J130" i="326"/>
  <c r="G110" i="335"/>
  <c r="I130" i="335"/>
  <c r="J130" i="335"/>
  <c r="H110" i="333"/>
  <c r="E117" i="333"/>
  <c r="I38" i="333"/>
  <c r="J38" i="333"/>
  <c r="I163" i="333"/>
  <c r="J163" i="333"/>
  <c r="E75" i="333"/>
  <c r="I69" i="333"/>
  <c r="J69" i="333"/>
  <c r="I111" i="333"/>
  <c r="J111" i="333"/>
  <c r="C117" i="333"/>
  <c r="I63" i="333"/>
  <c r="J63" i="333"/>
  <c r="F110" i="333"/>
  <c r="I148" i="325"/>
  <c r="J148" i="325"/>
  <c r="J151" i="325"/>
  <c r="I13" i="325"/>
  <c r="J13" i="325"/>
  <c r="I160" i="325"/>
  <c r="J160" i="325"/>
  <c r="I163" i="325"/>
  <c r="J163" i="325"/>
  <c r="I17" i="325"/>
  <c r="J17" i="325" s="1"/>
  <c r="I69" i="325"/>
  <c r="J69" i="325"/>
  <c r="C75" i="325"/>
  <c r="I135" i="325"/>
  <c r="J135" i="325"/>
  <c r="I111" i="325"/>
  <c r="J111" i="325"/>
  <c r="C117" i="325"/>
  <c r="H110" i="325"/>
  <c r="D117" i="325"/>
  <c r="C7" i="325"/>
  <c r="K7" i="325"/>
  <c r="G117" i="325"/>
  <c r="I117" i="325" s="1"/>
  <c r="J117" i="325" s="1"/>
  <c r="F110" i="325"/>
  <c r="E110" i="325"/>
  <c r="D7" i="325"/>
  <c r="I63" i="325"/>
  <c r="J63" i="325"/>
  <c r="H117" i="325"/>
  <c r="I157" i="325"/>
  <c r="J157" i="325"/>
  <c r="E7" i="325"/>
  <c r="I99" i="325"/>
  <c r="J99" i="325"/>
  <c r="F110" i="326"/>
  <c r="E110" i="326"/>
  <c r="J63" i="326"/>
  <c r="G75" i="326"/>
  <c r="I135" i="326"/>
  <c r="J135" i="326"/>
  <c r="I17" i="326"/>
  <c r="J17" i="326"/>
  <c r="I69" i="326"/>
  <c r="J69" i="326"/>
  <c r="I114" i="326"/>
  <c r="J114" i="326"/>
  <c r="I154" i="326"/>
  <c r="J154" i="326" s="1"/>
  <c r="I157" i="326"/>
  <c r="J157" i="326"/>
  <c r="I27" i="326"/>
  <c r="J27" i="326"/>
  <c r="C117" i="326"/>
  <c r="G117" i="326"/>
  <c r="I117" i="326"/>
  <c r="J117" i="326"/>
  <c r="I160" i="326"/>
  <c r="J160" i="326"/>
  <c r="I99" i="326"/>
  <c r="J99" i="326"/>
  <c r="H110" i="326"/>
  <c r="D117" i="326"/>
  <c r="H117" i="326"/>
  <c r="I148" i="326"/>
  <c r="J148" i="326"/>
  <c r="I13" i="326"/>
  <c r="J13" i="326"/>
  <c r="E7" i="326"/>
  <c r="J163" i="326"/>
  <c r="F7" i="326"/>
  <c r="F166" i="326"/>
  <c r="E117" i="326"/>
  <c r="J118" i="326"/>
  <c r="I140" i="326"/>
  <c r="J140" i="326"/>
  <c r="G7" i="326"/>
  <c r="I38" i="326"/>
  <c r="J38" i="326"/>
  <c r="I45" i="326"/>
  <c r="J45" i="326" s="1"/>
  <c r="E75" i="326"/>
  <c r="I103" i="326"/>
  <c r="J103" i="326" s="1"/>
  <c r="I151" i="326"/>
  <c r="J151" i="326" s="1"/>
  <c r="H138" i="326"/>
  <c r="I138" i="326"/>
  <c r="J138" i="326"/>
  <c r="I160" i="242"/>
  <c r="J160" i="242" s="1"/>
  <c r="H117" i="242"/>
  <c r="C75" i="242"/>
  <c r="H110" i="242"/>
  <c r="I110" i="242"/>
  <c r="J110" i="242" s="1"/>
  <c r="F117" i="242"/>
  <c r="E110" i="242"/>
  <c r="I157" i="242"/>
  <c r="J157" i="242"/>
  <c r="G110" i="242"/>
  <c r="C117" i="242"/>
  <c r="I135" i="242"/>
  <c r="J135" i="242"/>
  <c r="I69" i="242"/>
  <c r="J69" i="242" s="1"/>
  <c r="K110" i="242"/>
  <c r="G117" i="242"/>
  <c r="F110" i="242"/>
  <c r="D75" i="242"/>
  <c r="E117" i="242"/>
  <c r="I130" i="242"/>
  <c r="J130" i="242"/>
  <c r="J45" i="242"/>
  <c r="I111" i="242"/>
  <c r="J111" i="242"/>
  <c r="I63" i="242"/>
  <c r="J63" i="242" s="1"/>
  <c r="E7" i="242"/>
  <c r="I118" i="242"/>
  <c r="J118" i="242" s="1"/>
  <c r="I17" i="242"/>
  <c r="J17" i="242" s="1"/>
  <c r="I99" i="242"/>
  <c r="J99" i="242"/>
  <c r="F75" i="242"/>
  <c r="G32" i="241"/>
  <c r="I24" i="330"/>
  <c r="J24" i="330"/>
  <c r="K34" i="241"/>
  <c r="I129" i="330"/>
  <c r="J129" i="330" s="1"/>
  <c r="K30" i="241"/>
  <c r="C7" i="241"/>
  <c r="C6" i="241"/>
  <c r="C26" i="241"/>
  <c r="I67" i="330"/>
  <c r="J67" i="330"/>
  <c r="G99" i="330"/>
  <c r="I100" i="330"/>
  <c r="J100" i="330" s="1"/>
  <c r="I92" i="330"/>
  <c r="J92" i="330" s="1"/>
  <c r="I64" i="330"/>
  <c r="J64" i="330"/>
  <c r="H14" i="241"/>
  <c r="G12" i="241"/>
  <c r="D197" i="330"/>
  <c r="D11" i="241"/>
  <c r="I189" i="330"/>
  <c r="J189" i="330" s="1"/>
  <c r="C21" i="241"/>
  <c r="E221" i="330"/>
  <c r="E128" i="330"/>
  <c r="I226" i="330"/>
  <c r="J226" i="330"/>
  <c r="F22" i="241"/>
  <c r="G9" i="241"/>
  <c r="I9" i="241"/>
  <c r="J9" i="241"/>
  <c r="I76" i="330"/>
  <c r="J76" i="330" s="1"/>
  <c r="E26" i="330"/>
  <c r="E75" i="330"/>
  <c r="E6" i="330"/>
  <c r="E8" i="241"/>
  <c r="D6" i="330"/>
  <c r="C53" i="182"/>
  <c r="K53" i="182"/>
  <c r="H55" i="174"/>
  <c r="H27" i="174"/>
  <c r="D28" i="174"/>
  <c r="D11" i="267"/>
  <c r="I53" i="242"/>
  <c r="J53" i="242"/>
  <c r="I114" i="242"/>
  <c r="J114" i="242" s="1"/>
  <c r="D36" i="241"/>
  <c r="G7" i="335"/>
  <c r="I53" i="325"/>
  <c r="J53" i="325"/>
  <c r="F7" i="242"/>
  <c r="C221" i="330"/>
  <c r="C197" i="330"/>
  <c r="C128" i="330"/>
  <c r="C99" i="330"/>
  <c r="C75" i="330"/>
  <c r="C125" i="330"/>
  <c r="C10" i="241"/>
  <c r="F49" i="318"/>
  <c r="F106" i="318"/>
  <c r="F102" i="318"/>
  <c r="G49" i="318"/>
  <c r="J12" i="180"/>
  <c r="I12" i="180"/>
  <c r="H12" i="180"/>
  <c r="B34" i="172"/>
  <c r="D39" i="174"/>
  <c r="B104" i="172"/>
  <c r="O52" i="317"/>
  <c r="O54" i="317"/>
  <c r="O56" i="317"/>
  <c r="P55" i="317"/>
  <c r="P56" i="317"/>
  <c r="Q55" i="317"/>
  <c r="Q56" i="317"/>
  <c r="D31" i="183"/>
  <c r="E7" i="272"/>
  <c r="F21" i="241"/>
  <c r="F99" i="330"/>
  <c r="E29" i="267"/>
  <c r="H10" i="180"/>
  <c r="B32" i="172"/>
  <c r="J10" i="180"/>
  <c r="G8" i="334"/>
  <c r="C49" i="318"/>
  <c r="C104" i="318"/>
  <c r="I30" i="318"/>
  <c r="I10" i="180"/>
  <c r="G65" i="317"/>
  <c r="G52" i="317"/>
  <c r="J14" i="180"/>
  <c r="B36" i="172"/>
  <c r="I14" i="180"/>
  <c r="F38" i="334"/>
  <c r="G38" i="334"/>
  <c r="G39" i="334"/>
  <c r="H9" i="180"/>
  <c r="J9" i="180"/>
  <c r="C6" i="272"/>
  <c r="C36" i="267"/>
  <c r="E52" i="174"/>
  <c r="E49" i="174"/>
  <c r="E10" i="174"/>
  <c r="G48" i="241"/>
  <c r="G25" i="272"/>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F10" i="174"/>
  <c r="I16" i="180"/>
  <c r="H14" i="272"/>
  <c r="H9" i="267"/>
  <c r="I9" i="267" s="1"/>
  <c r="D45" i="174"/>
  <c r="D7" i="174"/>
  <c r="B18" i="267"/>
  <c r="B19" i="267"/>
  <c r="J36" i="267"/>
  <c r="H52" i="174"/>
  <c r="F39" i="177"/>
  <c r="E43" i="267"/>
  <c r="G39" i="177"/>
  <c r="G41" i="177"/>
  <c r="F46" i="267"/>
  <c r="F44" i="267"/>
  <c r="E99" i="330"/>
  <c r="E125" i="330"/>
  <c r="E22" i="241"/>
  <c r="E20" i="241"/>
  <c r="K11" i="241"/>
  <c r="I186" i="330"/>
  <c r="J186" i="330" s="1"/>
  <c r="G37" i="241"/>
  <c r="I37" i="241" s="1"/>
  <c r="J37" i="241" s="1"/>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G7" i="242"/>
  <c r="K7" i="335"/>
  <c r="I53" i="333"/>
  <c r="J53" i="333" s="1"/>
  <c r="D221" i="330"/>
  <c r="I13" i="242"/>
  <c r="J13" i="242" s="1"/>
  <c r="B3" i="100"/>
  <c r="A39" i="323"/>
  <c r="B98" i="100"/>
  <c r="A149" i="324"/>
  <c r="A28" i="268"/>
  <c r="A13" i="268"/>
  <c r="A6" i="268"/>
  <c r="A7" i="324"/>
  <c r="A32" i="272"/>
  <c r="A9" i="272"/>
  <c r="A138" i="323"/>
  <c r="A50" i="323"/>
  <c r="B77" i="100"/>
  <c r="B93" i="100"/>
  <c r="E31" i="183"/>
  <c r="C63" i="268"/>
  <c r="C29" i="267"/>
  <c r="C33" i="267"/>
  <c r="D18" i="267"/>
  <c r="D19" i="267"/>
  <c r="D20" i="267"/>
  <c r="D23" i="267"/>
  <c r="D25" i="267"/>
  <c r="E148" i="330"/>
  <c r="E247" i="330"/>
  <c r="E257" i="330"/>
  <c r="C6" i="330"/>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I75" i="326"/>
  <c r="J75" i="326"/>
  <c r="J30" i="318"/>
  <c r="E248" i="330"/>
  <c r="E6" i="241"/>
  <c r="C29" i="241"/>
  <c r="C49" i="241"/>
  <c r="C50" i="241"/>
  <c r="E29" i="241"/>
  <c r="E16" i="241"/>
  <c r="E43" i="241"/>
  <c r="C26" i="330"/>
  <c r="C16" i="241"/>
  <c r="C148" i="330"/>
  <c r="C247" i="330"/>
  <c r="C257" i="330"/>
  <c r="C39" i="241"/>
  <c r="E39" i="241"/>
  <c r="C20" i="241"/>
  <c r="C43" i="241"/>
  <c r="C33" i="241"/>
  <c r="E10" i="241"/>
  <c r="H32" i="241"/>
  <c r="E197" i="330"/>
  <c r="D30" i="241"/>
  <c r="D29" i="241"/>
  <c r="D128" i="330"/>
  <c r="I28" i="177"/>
  <c r="J28" i="177" s="1"/>
  <c r="K39" i="177"/>
  <c r="K41" i="177"/>
  <c r="J46" i="267"/>
  <c r="P66" i="317"/>
  <c r="E26" i="241"/>
  <c r="K68" i="318"/>
  <c r="I67" i="318"/>
  <c r="J67" i="318"/>
  <c r="I29" i="183"/>
  <c r="I31" i="183"/>
  <c r="G31" i="183"/>
  <c r="D2" i="269"/>
  <c r="D2" i="326"/>
  <c r="I65" i="317"/>
  <c r="E256" i="330"/>
  <c r="G22" i="334"/>
  <c r="C54" i="317"/>
  <c r="C56" i="317"/>
  <c r="D55" i="317"/>
  <c r="D56" i="317"/>
  <c r="E55" i="317"/>
  <c r="G166" i="326"/>
  <c r="L52" i="317"/>
  <c r="L54" i="317"/>
  <c r="L66" i="317"/>
  <c r="L65" i="317"/>
  <c r="B31" i="172"/>
  <c r="D2" i="270"/>
  <c r="D2" i="241"/>
  <c r="D2" i="183"/>
  <c r="D2" i="330"/>
  <c r="C2" i="317"/>
  <c r="D2" i="177"/>
  <c r="E47" i="318"/>
  <c r="F39" i="174"/>
  <c r="E43" i="178"/>
  <c r="E54" i="178"/>
  <c r="J65" i="317"/>
  <c r="G18" i="272"/>
  <c r="F17" i="174"/>
  <c r="G50" i="267"/>
  <c r="G53" i="172"/>
  <c r="H20" i="272"/>
  <c r="H41" i="241"/>
  <c r="I41" i="241" s="1"/>
  <c r="J41" i="241" s="1"/>
  <c r="I116" i="323"/>
  <c r="J116" i="323"/>
  <c r="A196" i="323"/>
  <c r="A8" i="268"/>
  <c r="B33" i="267"/>
  <c r="F14" i="174"/>
  <c r="A12" i="268"/>
  <c r="A240" i="323"/>
  <c r="G110" i="325"/>
  <c r="D110" i="333"/>
  <c r="E7" i="333"/>
  <c r="E166" i="333"/>
  <c r="C7" i="326"/>
  <c r="F75" i="325"/>
  <c r="I138" i="325"/>
  <c r="J138" i="325"/>
  <c r="G75" i="325"/>
  <c r="I148" i="335"/>
  <c r="J148" i="335" s="1"/>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H34" i="272"/>
  <c r="I34" i="272"/>
  <c r="J34" i="272"/>
  <c r="F31" i="241"/>
  <c r="F128" i="330"/>
  <c r="I110" i="325"/>
  <c r="J110" i="325"/>
  <c r="E100" i="318"/>
  <c r="E102" i="318"/>
  <c r="C49" i="334"/>
  <c r="G36" i="272"/>
  <c r="I306" i="323"/>
  <c r="J306" i="323"/>
  <c r="G41" i="334"/>
  <c r="F47" i="334"/>
  <c r="G47" i="334"/>
  <c r="F28" i="174"/>
  <c r="F7" i="174"/>
  <c r="B20" i="267"/>
  <c r="B23" i="267"/>
  <c r="B25" i="267"/>
  <c r="E166" i="326"/>
  <c r="E12" i="272"/>
  <c r="E49" i="241"/>
  <c r="E50" i="241"/>
  <c r="D2" i="242"/>
  <c r="C77" i="172"/>
  <c r="D2" i="323"/>
  <c r="C2" i="267"/>
  <c r="D2" i="333"/>
  <c r="F16" i="334"/>
  <c r="K75" i="330"/>
  <c r="K52" i="317"/>
  <c r="K65" i="317"/>
  <c r="E106" i="318"/>
  <c r="E49" i="318"/>
  <c r="F63" i="268"/>
  <c r="F31" i="183"/>
  <c r="H6" i="267"/>
  <c r="I6" i="267" s="1"/>
  <c r="G9" i="272"/>
  <c r="C47" i="334"/>
  <c r="I38" i="272"/>
  <c r="J38" i="272"/>
  <c r="G7" i="325"/>
  <c r="L21" i="175"/>
  <c r="K7" i="333"/>
  <c r="E75" i="325"/>
  <c r="E166" i="325"/>
  <c r="I114" i="333"/>
  <c r="J114" i="333"/>
  <c r="G110" i="333"/>
  <c r="I110" i="333"/>
  <c r="J110" i="333"/>
  <c r="E110" i="335"/>
  <c r="C110" i="333"/>
  <c r="C166" i="333"/>
  <c r="I140" i="335"/>
  <c r="J140" i="335" s="1"/>
  <c r="G138" i="335"/>
  <c r="I138" i="335" s="1"/>
  <c r="J138" i="335" s="1"/>
  <c r="I118" i="325"/>
  <c r="J118" i="325"/>
  <c r="E7" i="335"/>
  <c r="O12" i="238"/>
  <c r="E50" i="318"/>
  <c r="E104" i="318"/>
  <c r="E105" i="318"/>
  <c r="G16" i="334"/>
  <c r="F28" i="334"/>
  <c r="E166" i="335"/>
  <c r="F49" i="334"/>
  <c r="G49" i="334"/>
  <c r="G28" i="334"/>
  <c r="D63" i="268"/>
  <c r="H29" i="272"/>
  <c r="I37" i="272"/>
  <c r="J37" i="272"/>
  <c r="I273" i="323"/>
  <c r="J273" i="323"/>
  <c r="D339" i="323"/>
  <c r="C339" i="323"/>
  <c r="W340" i="323"/>
  <c r="G26" i="272"/>
  <c r="E339" i="323"/>
  <c r="C25" i="272"/>
  <c r="C39" i="272"/>
  <c r="E39" i="272"/>
  <c r="P340" i="323"/>
  <c r="R340" i="323"/>
  <c r="T340" i="323"/>
  <c r="L340" i="323"/>
  <c r="O340" i="323"/>
  <c r="G20" i="272"/>
  <c r="I20" i="272"/>
  <c r="J20" i="272"/>
  <c r="H19" i="272"/>
  <c r="I19" i="272"/>
  <c r="J19" i="272"/>
  <c r="H18" i="272"/>
  <c r="I18" i="272"/>
  <c r="J18" i="272"/>
  <c r="E171" i="323"/>
  <c r="E21" i="272"/>
  <c r="C21" i="272"/>
  <c r="C171" i="323"/>
  <c r="C341" i="323"/>
  <c r="I39" i="323"/>
  <c r="J39" i="323" s="1"/>
  <c r="H6" i="272"/>
  <c r="I6" i="272" s="1"/>
  <c r="A218" i="323"/>
  <c r="A28" i="272"/>
  <c r="A10" i="272"/>
  <c r="A10" i="268"/>
  <c r="D39" i="272"/>
  <c r="D171" i="323"/>
  <c r="D8" i="272"/>
  <c r="D38" i="241"/>
  <c r="D99" i="330"/>
  <c r="D16" i="241"/>
  <c r="D15" i="241"/>
  <c r="D6" i="241"/>
  <c r="H13" i="267"/>
  <c r="I13" i="267" s="1"/>
  <c r="E40" i="272"/>
  <c r="E341" i="323"/>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c r="V315" i="324"/>
  <c r="I226" i="324"/>
  <c r="J226" i="324"/>
  <c r="I171" i="324"/>
  <c r="I26" i="268" s="1"/>
  <c r="J26" i="268" s="1"/>
  <c r="K145" i="324"/>
  <c r="S315" i="324"/>
  <c r="C21" i="268"/>
  <c r="D21" i="268"/>
  <c r="H18" i="324"/>
  <c r="I18" i="324"/>
  <c r="J18" i="324" s="1"/>
  <c r="H19" i="268"/>
  <c r="I19" i="268"/>
  <c r="J19" i="268"/>
  <c r="I281" i="324"/>
  <c r="I17" i="268"/>
  <c r="J17" i="268"/>
  <c r="C314" i="324"/>
  <c r="T315" i="324"/>
  <c r="D39" i="268"/>
  <c r="E39" i="268"/>
  <c r="U315" i="324"/>
  <c r="E21" i="268"/>
  <c r="I193" i="324"/>
  <c r="I28" i="268" s="1"/>
  <c r="J28" i="268" s="1"/>
  <c r="H34" i="268"/>
  <c r="I259" i="324"/>
  <c r="C39" i="268"/>
  <c r="H27" i="268"/>
  <c r="I182" i="324"/>
  <c r="J182" i="324" s="1"/>
  <c r="D314" i="324"/>
  <c r="E145" i="324"/>
  <c r="K314" i="324"/>
  <c r="C145" i="324"/>
  <c r="G16" i="268"/>
  <c r="I16" i="268"/>
  <c r="J16" i="268"/>
  <c r="G30" i="268"/>
  <c r="I215" i="324"/>
  <c r="H35" i="268"/>
  <c r="I270" i="324"/>
  <c r="E314" i="324"/>
  <c r="H15" i="268"/>
  <c r="I15" i="268"/>
  <c r="J15" i="268"/>
  <c r="H7" i="324"/>
  <c r="H6" i="268" s="1"/>
  <c r="H12" i="324"/>
  <c r="I14" i="324"/>
  <c r="J14" i="324" s="1"/>
  <c r="H32" i="268"/>
  <c r="I237" i="324"/>
  <c r="H37" i="268"/>
  <c r="I292" i="324"/>
  <c r="G10" i="268"/>
  <c r="I10" i="268" s="1"/>
  <c r="J10" i="268" s="1"/>
  <c r="G20" i="268"/>
  <c r="I20" i="268"/>
  <c r="J20" i="268"/>
  <c r="G24" i="268"/>
  <c r="I149" i="324"/>
  <c r="G33" i="268"/>
  <c r="I248" i="324"/>
  <c r="G38" i="268"/>
  <c r="I303" i="324"/>
  <c r="H23" i="324"/>
  <c r="H9" i="268" s="1"/>
  <c r="I9" i="268" s="1"/>
  <c r="J9" i="268" s="1"/>
  <c r="K148" i="330"/>
  <c r="K26" i="330"/>
  <c r="K13" i="241"/>
  <c r="H8" i="269"/>
  <c r="H17" i="269"/>
  <c r="H33" i="269" s="1"/>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7" i="242"/>
  <c r="H140" i="333"/>
  <c r="I100" i="333"/>
  <c r="J100" i="333" s="1"/>
  <c r="I28" i="333"/>
  <c r="J28" i="333" s="1"/>
  <c r="I19" i="333"/>
  <c r="J19" i="333" s="1"/>
  <c r="I114" i="335"/>
  <c r="J114" i="335"/>
  <c r="H110" i="335"/>
  <c r="I110" i="335"/>
  <c r="J110" i="335"/>
  <c r="I115" i="335"/>
  <c r="J115" i="335"/>
  <c r="H103" i="335"/>
  <c r="I103" i="335" s="1"/>
  <c r="J103" i="335" s="1"/>
  <c r="H76" i="335"/>
  <c r="I55" i="335"/>
  <c r="J55" i="335"/>
  <c r="I41" i="335"/>
  <c r="J41" i="335"/>
  <c r="I21" i="335"/>
  <c r="J21" i="335"/>
  <c r="H35" i="324"/>
  <c r="I27" i="324"/>
  <c r="J27" i="324" s="1"/>
  <c r="G29" i="267"/>
  <c r="H29" i="267" s="1"/>
  <c r="I29" i="267" s="1"/>
  <c r="H57" i="268"/>
  <c r="I57" i="268" s="1"/>
  <c r="J57" i="268" s="1"/>
  <c r="I49" i="268"/>
  <c r="J49" i="268" s="1"/>
  <c r="I45" i="268"/>
  <c r="J45" i="268" s="1"/>
  <c r="H235" i="330"/>
  <c r="I230" i="330"/>
  <c r="J230" i="330" s="1"/>
  <c r="I223" i="330"/>
  <c r="J223" i="330" s="1"/>
  <c r="I179" i="330"/>
  <c r="J179" i="330" s="1"/>
  <c r="H171" i="330"/>
  <c r="I171" i="330" s="1"/>
  <c r="J171" i="330" s="1"/>
  <c r="H118" i="330"/>
  <c r="I88" i="330"/>
  <c r="J88" i="330" s="1"/>
  <c r="C316" i="324"/>
  <c r="E40" i="268"/>
  <c r="D28" i="267"/>
  <c r="H8" i="268"/>
  <c r="C40" i="268"/>
  <c r="B28" i="267"/>
  <c r="D316" i="324"/>
  <c r="I31" i="268"/>
  <c r="J31" i="268"/>
  <c r="D40" i="268"/>
  <c r="J281" i="324"/>
  <c r="I36" i="268"/>
  <c r="J36" i="268"/>
  <c r="J171" i="324"/>
  <c r="I38" i="268"/>
  <c r="J38" i="268"/>
  <c r="J303" i="324"/>
  <c r="J149" i="324"/>
  <c r="I24" i="268"/>
  <c r="I27" i="268"/>
  <c r="J27" i="268"/>
  <c r="I30" i="268"/>
  <c r="J30" i="268"/>
  <c r="J215" i="324"/>
  <c r="J248" i="324"/>
  <c r="I33" i="268"/>
  <c r="J33" i="268"/>
  <c r="I32" i="268"/>
  <c r="J32" i="268"/>
  <c r="J237" i="324"/>
  <c r="E316" i="324"/>
  <c r="J292" i="324"/>
  <c r="I37" i="268"/>
  <c r="J37" i="268"/>
  <c r="I35" i="268"/>
  <c r="J35" i="268"/>
  <c r="J270" i="324"/>
  <c r="I34" i="268"/>
  <c r="J34" i="268"/>
  <c r="J259" i="324"/>
  <c r="H138" i="333"/>
  <c r="H75" i="335"/>
  <c r="I75" i="335"/>
  <c r="J75" i="335"/>
  <c r="I76" i="335"/>
  <c r="J76" i="335"/>
  <c r="H11" i="268"/>
  <c r="H47" i="241"/>
  <c r="I118" i="330"/>
  <c r="J118" i="330" s="1"/>
  <c r="H25" i="241"/>
  <c r="F46" i="174"/>
  <c r="F8" i="174"/>
  <c r="E86" i="268"/>
  <c r="D86" i="268"/>
  <c r="E46" i="174"/>
  <c r="E8" i="174"/>
  <c r="C86" i="268"/>
  <c r="D46" i="174"/>
  <c r="D8" i="174"/>
  <c r="C28" i="267"/>
  <c r="J24" i="268"/>
  <c r="G166" i="325"/>
  <c r="G8" i="272"/>
  <c r="G339" i="323"/>
  <c r="G75" i="330"/>
  <c r="G6" i="330"/>
  <c r="G6" i="241"/>
  <c r="F8" i="241"/>
  <c r="F6" i="241" s="1"/>
  <c r="F75" i="330"/>
  <c r="F26" i="330"/>
  <c r="I209" i="330"/>
  <c r="J209" i="330" s="1"/>
  <c r="F197" i="330"/>
  <c r="F148" i="330"/>
  <c r="D43" i="178"/>
  <c r="D54" i="178"/>
  <c r="C37" i="267"/>
  <c r="G26" i="178"/>
  <c r="H39" i="174"/>
  <c r="I154" i="333"/>
  <c r="J154" i="333" s="1"/>
  <c r="I151" i="333"/>
  <c r="J151" i="333" s="1"/>
  <c r="I148" i="333"/>
  <c r="J148" i="333" s="1"/>
  <c r="N24" i="238"/>
  <c r="I229" i="323"/>
  <c r="J229" i="323" s="1"/>
  <c r="G45" i="174"/>
  <c r="G7" i="174"/>
  <c r="H12" i="267"/>
  <c r="I12" i="267" s="1"/>
  <c r="K166" i="335"/>
  <c r="H45" i="335"/>
  <c r="I45" i="335" s="1"/>
  <c r="J45" i="335" s="1"/>
  <c r="H27" i="335"/>
  <c r="I27" i="335"/>
  <c r="J27" i="335" s="1"/>
  <c r="I17" i="335"/>
  <c r="J17" i="335" s="1"/>
  <c r="D7" i="335"/>
  <c r="D166" i="335"/>
  <c r="K166" i="333"/>
  <c r="I149" i="333"/>
  <c r="J149" i="333" s="1"/>
  <c r="H118" i="333"/>
  <c r="H99" i="333"/>
  <c r="I99" i="333"/>
  <c r="J99" i="333" s="1"/>
  <c r="H76" i="333"/>
  <c r="D7" i="333"/>
  <c r="D166" i="333"/>
  <c r="H8" i="333"/>
  <c r="K166" i="325"/>
  <c r="H103" i="325"/>
  <c r="I103" i="325" s="1"/>
  <c r="J103" i="325" s="1"/>
  <c r="D166" i="325"/>
  <c r="I8" i="325"/>
  <c r="J8" i="325" s="1"/>
  <c r="D166" i="326"/>
  <c r="I9" i="326"/>
  <c r="J9" i="326" s="1"/>
  <c r="H140" i="242"/>
  <c r="I140" i="242" s="1"/>
  <c r="J140" i="242" s="1"/>
  <c r="H138" i="242"/>
  <c r="I138" i="242" s="1"/>
  <c r="J138" i="242" s="1"/>
  <c r="H76" i="242"/>
  <c r="I7" i="242"/>
  <c r="J7" i="242" s="1"/>
  <c r="G9" i="180"/>
  <c r="C30" i="172"/>
  <c r="C29" i="172"/>
  <c r="J6" i="180"/>
  <c r="N33" i="317"/>
  <c r="N52" i="317"/>
  <c r="N54" i="317"/>
  <c r="N65" i="317"/>
  <c r="K49" i="318"/>
  <c r="K50" i="318"/>
  <c r="I58" i="269"/>
  <c r="J58" i="269"/>
  <c r="D62" i="269"/>
  <c r="I31" i="269"/>
  <c r="J31" i="269"/>
  <c r="D33" i="269"/>
  <c r="I29" i="269"/>
  <c r="J29" i="269"/>
  <c r="C62" i="269"/>
  <c r="E33" i="269"/>
  <c r="I60" i="269"/>
  <c r="J60" i="269"/>
  <c r="K33" i="269"/>
  <c r="E62" i="269"/>
  <c r="G33" i="269"/>
  <c r="K62" i="269"/>
  <c r="F33" i="269"/>
  <c r="C33" i="269"/>
  <c r="I59" i="270"/>
  <c r="J59" i="270"/>
  <c r="I31" i="270"/>
  <c r="J31" i="270"/>
  <c r="I29" i="270"/>
  <c r="J29" i="270"/>
  <c r="C33" i="270"/>
  <c r="A31" i="334"/>
  <c r="F61" i="270"/>
  <c r="C61" i="270"/>
  <c r="A60" i="269"/>
  <c r="G61" i="270"/>
  <c r="D61" i="270"/>
  <c r="A58" i="269"/>
  <c r="G33" i="270"/>
  <c r="E33" i="270"/>
  <c r="E63" i="270"/>
  <c r="K61" i="270"/>
  <c r="I37" i="270"/>
  <c r="J37" i="270" s="1"/>
  <c r="K33" i="270"/>
  <c r="D33" i="270"/>
  <c r="F33" i="270"/>
  <c r="J9" i="270"/>
  <c r="H8" i="270"/>
  <c r="A45" i="269"/>
  <c r="C43" i="267"/>
  <c r="H10" i="174"/>
  <c r="H11" i="174"/>
  <c r="H14" i="174"/>
  <c r="H13" i="174"/>
  <c r="K39" i="268"/>
  <c r="K316" i="324"/>
  <c r="K21" i="268"/>
  <c r="J11" i="267"/>
  <c r="H28" i="174"/>
  <c r="H17" i="174"/>
  <c r="H26" i="174"/>
  <c r="E45" i="174"/>
  <c r="E7" i="174"/>
  <c r="I33" i="182"/>
  <c r="J33" i="182" s="1"/>
  <c r="H22" i="181"/>
  <c r="G10" i="267"/>
  <c r="H53" i="182"/>
  <c r="E55" i="174"/>
  <c r="D38" i="182"/>
  <c r="D42" i="182"/>
  <c r="D44" i="182"/>
  <c r="D46" i="182"/>
  <c r="D48" i="182"/>
  <c r="F39" i="267"/>
  <c r="E11" i="174"/>
  <c r="D341" i="323"/>
  <c r="D21" i="272"/>
  <c r="D40" i="272"/>
  <c r="K339" i="323"/>
  <c r="K21" i="272"/>
  <c r="K171" i="323"/>
  <c r="H26" i="272"/>
  <c r="H10" i="272"/>
  <c r="K197" i="330"/>
  <c r="K221" i="330"/>
  <c r="K43" i="241"/>
  <c r="K39" i="241"/>
  <c r="K29" i="241"/>
  <c r="K128" i="330"/>
  <c r="K247" i="330"/>
  <c r="K20" i="241"/>
  <c r="K99" i="330"/>
  <c r="K125" i="330"/>
  <c r="K256" i="330"/>
  <c r="K16" i="241"/>
  <c r="K10" i="241"/>
  <c r="D33" i="241"/>
  <c r="D49" i="241"/>
  <c r="D50" i="241"/>
  <c r="I113" i="330"/>
  <c r="J113" i="330" s="1"/>
  <c r="D20" i="241"/>
  <c r="H23" i="241"/>
  <c r="I108" i="330"/>
  <c r="J108" i="330"/>
  <c r="H99" i="330"/>
  <c r="I104" i="330"/>
  <c r="H22" i="241"/>
  <c r="H18" i="241"/>
  <c r="H75" i="330"/>
  <c r="I75" i="330" s="1"/>
  <c r="J75" i="330" s="1"/>
  <c r="I87" i="330"/>
  <c r="J87" i="330" s="1"/>
  <c r="I17" i="241"/>
  <c r="J17" i="241" s="1"/>
  <c r="I60" i="330"/>
  <c r="J60" i="330" s="1"/>
  <c r="D10" i="241"/>
  <c r="D26" i="241"/>
  <c r="H49" i="330"/>
  <c r="H12" i="241" s="1"/>
  <c r="I12" i="241" s="1"/>
  <c r="J12" i="241" s="1"/>
  <c r="D26" i="330"/>
  <c r="D125" i="330"/>
  <c r="H11" i="241"/>
  <c r="K8" i="241"/>
  <c r="K6" i="241"/>
  <c r="A1" i="331"/>
  <c r="B4" i="331"/>
  <c r="B8" i="331"/>
  <c r="A1" i="241"/>
  <c r="A1" i="328"/>
  <c r="F26" i="175"/>
  <c r="F27" i="175"/>
  <c r="H50" i="267"/>
  <c r="D26" i="175"/>
  <c r="D27" i="175" s="1"/>
  <c r="C50" i="267"/>
  <c r="I26" i="175"/>
  <c r="I27" i="175" s="1"/>
  <c r="I50" i="267"/>
  <c r="F50" i="267"/>
  <c r="J26" i="175"/>
  <c r="J27" i="175" s="1"/>
  <c r="E50" i="267"/>
  <c r="I157" i="335"/>
  <c r="J157" i="335" s="1"/>
  <c r="J8" i="180"/>
  <c r="H8" i="180"/>
  <c r="H6" i="180"/>
  <c r="I6" i="180"/>
  <c r="H16" i="180"/>
  <c r="J16" i="180"/>
  <c r="G74" i="268"/>
  <c r="I70" i="268"/>
  <c r="J70" i="268"/>
  <c r="F33" i="267"/>
  <c r="G43" i="178"/>
  <c r="G54" i="178"/>
  <c r="H117" i="333"/>
  <c r="H7" i="333"/>
  <c r="I8" i="333"/>
  <c r="J8" i="333" s="1"/>
  <c r="C31" i="172"/>
  <c r="G10" i="180"/>
  <c r="N56" i="317"/>
  <c r="N66" i="317"/>
  <c r="C64" i="269"/>
  <c r="D64" i="269"/>
  <c r="E64" i="269"/>
  <c r="K64" i="269"/>
  <c r="C63" i="270"/>
  <c r="G63" i="270"/>
  <c r="K63" i="270"/>
  <c r="D63" i="270"/>
  <c r="K40" i="268"/>
  <c r="E17" i="174"/>
  <c r="E26" i="174"/>
  <c r="E28" i="174"/>
  <c r="E27" i="174"/>
  <c r="K341" i="323"/>
  <c r="K26" i="241"/>
  <c r="H20" i="241"/>
  <c r="I99" i="330"/>
  <c r="J99" i="330" s="1"/>
  <c r="J104" i="330"/>
  <c r="D256" i="330"/>
  <c r="K248" i="330"/>
  <c r="C32" i="172"/>
  <c r="G11" i="180"/>
  <c r="H46" i="174"/>
  <c r="H8" i="174"/>
  <c r="K86" i="268"/>
  <c r="J28" i="267"/>
  <c r="C33" i="172"/>
  <c r="G12" i="180"/>
  <c r="C34" i="172"/>
  <c r="G13" i="180"/>
  <c r="G14" i="180"/>
  <c r="C35" i="172"/>
  <c r="G15" i="180"/>
  <c r="C36" i="172"/>
  <c r="G16" i="180"/>
  <c r="C37" i="172"/>
  <c r="G17" i="180"/>
  <c r="C39" i="172"/>
  <c r="C38" i="172"/>
  <c r="I92" i="318"/>
  <c r="J92" i="318" s="1"/>
  <c r="D106" i="318"/>
  <c r="K106" i="318"/>
  <c r="K84" i="318"/>
  <c r="K102" i="318"/>
  <c r="K104" i="318"/>
  <c r="K105" i="318"/>
  <c r="D102" i="318"/>
  <c r="D104" i="318"/>
  <c r="D105" i="318"/>
  <c r="D84" i="318"/>
  <c r="C19" i="267"/>
  <c r="C20" i="267"/>
  <c r="C23" i="267"/>
  <c r="C25" i="267"/>
  <c r="K257" i="330"/>
  <c r="J18" i="267"/>
  <c r="J19" i="267"/>
  <c r="J20" i="267"/>
  <c r="J23" i="267"/>
  <c r="J25" i="267"/>
  <c r="H45" i="174"/>
  <c r="H7" i="174"/>
  <c r="K38" i="182"/>
  <c r="K42" i="182"/>
  <c r="K44" i="182"/>
  <c r="K46" i="182"/>
  <c r="K48" i="182"/>
  <c r="J16" i="267"/>
  <c r="I29" i="182"/>
  <c r="J29" i="182" s="1"/>
  <c r="D248" i="330"/>
  <c r="D257" i="330"/>
  <c r="O24" i="238" l="1"/>
  <c r="G148" i="330"/>
  <c r="I177" i="330"/>
  <c r="J177" i="330" s="1"/>
  <c r="F40" i="267"/>
  <c r="F38" i="267"/>
  <c r="G10" i="174"/>
  <c r="E19" i="267"/>
  <c r="F38" i="182"/>
  <c r="F42" i="182" s="1"/>
  <c r="F44" i="182" s="1"/>
  <c r="F46" i="182" s="1"/>
  <c r="F48" i="182" s="1"/>
  <c r="D104" i="172"/>
  <c r="C79" i="172"/>
  <c r="B79" i="172" s="1"/>
  <c r="K26" i="175"/>
  <c r="K27" i="175" s="1"/>
  <c r="J50" i="267"/>
  <c r="C171" i="335"/>
  <c r="G166" i="242"/>
  <c r="F166" i="242"/>
  <c r="D166" i="242"/>
  <c r="I76" i="242"/>
  <c r="J76" i="242" s="1"/>
  <c r="K171" i="335"/>
  <c r="K171" i="326"/>
  <c r="K171" i="242"/>
  <c r="D171" i="326"/>
  <c r="D171" i="335"/>
  <c r="D171" i="242"/>
  <c r="C171" i="326"/>
  <c r="I152" i="242"/>
  <c r="J152" i="242" s="1"/>
  <c r="E75" i="242"/>
  <c r="E166" i="242" s="1"/>
  <c r="E171" i="242" s="1"/>
  <c r="I117" i="242"/>
  <c r="J117" i="242" s="1"/>
  <c r="I148" i="242"/>
  <c r="J148" i="242" s="1"/>
  <c r="I103" i="242"/>
  <c r="J103" i="242" s="1"/>
  <c r="G166" i="335"/>
  <c r="F7" i="335"/>
  <c r="F166" i="335" s="1"/>
  <c r="F117" i="333"/>
  <c r="G7" i="333"/>
  <c r="I27" i="333"/>
  <c r="J27" i="333" s="1"/>
  <c r="F7" i="333"/>
  <c r="F75" i="333"/>
  <c r="I157" i="333"/>
  <c r="J157" i="333" s="1"/>
  <c r="G138" i="333"/>
  <c r="I138" i="333" s="1"/>
  <c r="J138" i="333" s="1"/>
  <c r="G117" i="333"/>
  <c r="I117" i="333" s="1"/>
  <c r="J117" i="333" s="1"/>
  <c r="I17" i="333"/>
  <c r="J17" i="333" s="1"/>
  <c r="F166" i="325"/>
  <c r="I154" i="242"/>
  <c r="J154" i="242" s="1"/>
  <c r="H7" i="180"/>
  <c r="I7" i="180" s="1"/>
  <c r="I13" i="180"/>
  <c r="J7" i="180"/>
  <c r="H13" i="180"/>
  <c r="H17" i="180"/>
  <c r="F38" i="181"/>
  <c r="F42" i="181" s="1"/>
  <c r="F44" i="181" s="1"/>
  <c r="G38" i="181"/>
  <c r="G42" i="181" s="1"/>
  <c r="G44" i="181" s="1"/>
  <c r="I36" i="181"/>
  <c r="J36" i="181" s="1"/>
  <c r="F104" i="318"/>
  <c r="G102" i="318"/>
  <c r="G104" i="318" s="1"/>
  <c r="G106" i="318"/>
  <c r="I83" i="318"/>
  <c r="J83" i="318" s="1"/>
  <c r="I46" i="318"/>
  <c r="J46" i="318" s="1"/>
  <c r="I45" i="269"/>
  <c r="J45" i="269" s="1"/>
  <c r="F63" i="270"/>
  <c r="F41" i="178"/>
  <c r="G13" i="174"/>
  <c r="F36" i="267"/>
  <c r="F26" i="178"/>
  <c r="I204" i="324"/>
  <c r="J193" i="324"/>
  <c r="G314" i="324"/>
  <c r="G39" i="268"/>
  <c r="F39" i="268"/>
  <c r="F314" i="324"/>
  <c r="I11" i="268"/>
  <c r="J11" i="268" s="1"/>
  <c r="I35" i="324"/>
  <c r="J35" i="324" s="1"/>
  <c r="G21" i="268"/>
  <c r="I8" i="268"/>
  <c r="J8" i="268" s="1"/>
  <c r="F21" i="268"/>
  <c r="F40" i="268" s="1"/>
  <c r="F86" i="268" s="1"/>
  <c r="G145" i="324"/>
  <c r="I12" i="324"/>
  <c r="J12" i="324" s="1"/>
  <c r="F145" i="324"/>
  <c r="E33" i="267"/>
  <c r="H32" i="267"/>
  <c r="I32" i="267" s="1"/>
  <c r="I74" i="268"/>
  <c r="J74" i="268" s="1"/>
  <c r="G63" i="268"/>
  <c r="I43" i="268"/>
  <c r="J43" i="268" s="1"/>
  <c r="H22" i="267"/>
  <c r="I22" i="267" s="1"/>
  <c r="H21" i="267"/>
  <c r="I21" i="267" s="1"/>
  <c r="F19" i="267"/>
  <c r="H14" i="267"/>
  <c r="I14" i="267" s="1"/>
  <c r="H16" i="267"/>
  <c r="I16" i="267" s="1"/>
  <c r="E11" i="267"/>
  <c r="E20" i="267" s="1"/>
  <c r="E23" i="267" s="1"/>
  <c r="E25" i="267" s="1"/>
  <c r="H10" i="267"/>
  <c r="I10" i="267" s="1"/>
  <c r="F11" i="267"/>
  <c r="G53" i="182"/>
  <c r="H7" i="267"/>
  <c r="I7" i="267" s="1"/>
  <c r="G27" i="174"/>
  <c r="G28" i="174"/>
  <c r="G26" i="174"/>
  <c r="G17" i="174"/>
  <c r="I22" i="182"/>
  <c r="J22" i="182" s="1"/>
  <c r="G38" i="182"/>
  <c r="G42" i="182" s="1"/>
  <c r="G44" i="182" s="1"/>
  <c r="G46" i="182" s="1"/>
  <c r="G48" i="182" s="1"/>
  <c r="G39" i="272"/>
  <c r="I26" i="272"/>
  <c r="J26" i="272" s="1"/>
  <c r="F39" i="272"/>
  <c r="I174" i="323"/>
  <c r="J174" i="323" s="1"/>
  <c r="F339" i="323"/>
  <c r="G171" i="323"/>
  <c r="G341" i="323" s="1"/>
  <c r="I11" i="272"/>
  <c r="J11" i="272" s="1"/>
  <c r="I61" i="323"/>
  <c r="J61" i="323" s="1"/>
  <c r="I50" i="323"/>
  <c r="J50" i="323" s="1"/>
  <c r="G21" i="272"/>
  <c r="F21" i="272"/>
  <c r="I8" i="272"/>
  <c r="J8" i="272" s="1"/>
  <c r="F171" i="323"/>
  <c r="I235" i="330"/>
  <c r="J235" i="330" s="1"/>
  <c r="G221" i="330"/>
  <c r="I47" i="241"/>
  <c r="J47" i="241" s="1"/>
  <c r="I46" i="241"/>
  <c r="J46" i="241" s="1"/>
  <c r="F221" i="330"/>
  <c r="F247" i="330" s="1"/>
  <c r="F257" i="330" s="1"/>
  <c r="F43" i="241"/>
  <c r="G43" i="241"/>
  <c r="G39" i="241"/>
  <c r="F39" i="241"/>
  <c r="G197" i="330"/>
  <c r="I38" i="241"/>
  <c r="J38" i="241" s="1"/>
  <c r="F33" i="241"/>
  <c r="G33" i="241"/>
  <c r="G128" i="330"/>
  <c r="G247" i="330" s="1"/>
  <c r="G257" i="330" s="1"/>
  <c r="I32" i="241"/>
  <c r="J32" i="241" s="1"/>
  <c r="F29" i="241"/>
  <c r="I30" i="241"/>
  <c r="J30" i="241" s="1"/>
  <c r="G29" i="241"/>
  <c r="I25" i="241"/>
  <c r="J25" i="241" s="1"/>
  <c r="F20" i="241"/>
  <c r="I24" i="241"/>
  <c r="J24" i="241" s="1"/>
  <c r="I23" i="241"/>
  <c r="J23" i="241" s="1"/>
  <c r="I22" i="241"/>
  <c r="J22" i="241" s="1"/>
  <c r="I21" i="241"/>
  <c r="J21" i="241" s="1"/>
  <c r="G20" i="241"/>
  <c r="G16" i="241"/>
  <c r="I18" i="241"/>
  <c r="J18" i="241" s="1"/>
  <c r="F16" i="241"/>
  <c r="I14" i="241"/>
  <c r="J14" i="241" s="1"/>
  <c r="I13" i="241"/>
  <c r="J13" i="241" s="1"/>
  <c r="F10" i="241"/>
  <c r="F125" i="330"/>
  <c r="G10" i="241"/>
  <c r="I11" i="241"/>
  <c r="J11" i="241" s="1"/>
  <c r="I27" i="330"/>
  <c r="J27" i="330" s="1"/>
  <c r="G26" i="330"/>
  <c r="G125" i="330" s="1"/>
  <c r="B95" i="100"/>
  <c r="H7" i="335"/>
  <c r="I7" i="335" s="1"/>
  <c r="J7" i="335" s="1"/>
  <c r="H75" i="333"/>
  <c r="I75" i="333" s="1"/>
  <c r="J75" i="333" s="1"/>
  <c r="I76" i="333"/>
  <c r="J76" i="333" s="1"/>
  <c r="H166" i="333"/>
  <c r="I7" i="333"/>
  <c r="J7" i="333" s="1"/>
  <c r="H75" i="325"/>
  <c r="I75" i="325" s="1"/>
  <c r="J75" i="325" s="1"/>
  <c r="H7" i="325"/>
  <c r="I7" i="325" s="1"/>
  <c r="J7" i="325" s="1"/>
  <c r="I8" i="326"/>
  <c r="J8" i="326" s="1"/>
  <c r="H7" i="326"/>
  <c r="H75" i="242"/>
  <c r="I29" i="181"/>
  <c r="J29" i="181" s="1"/>
  <c r="H38" i="181"/>
  <c r="H42" i="181" s="1"/>
  <c r="I22" i="181"/>
  <c r="J22" i="181" s="1"/>
  <c r="H102" i="318"/>
  <c r="I102" i="318" s="1"/>
  <c r="J102" i="318" s="1"/>
  <c r="I99" i="318"/>
  <c r="J99" i="318" s="1"/>
  <c r="I88" i="318"/>
  <c r="J88" i="318" s="1"/>
  <c r="I34" i="318"/>
  <c r="J34" i="318" s="1"/>
  <c r="H106" i="318"/>
  <c r="H14" i="318"/>
  <c r="I36" i="269"/>
  <c r="J37" i="269"/>
  <c r="H64" i="269"/>
  <c r="H36" i="269"/>
  <c r="H62" i="269" s="1"/>
  <c r="I17" i="269"/>
  <c r="J17" i="269" s="1"/>
  <c r="I8" i="269"/>
  <c r="I33" i="269" s="1"/>
  <c r="H45" i="270"/>
  <c r="I45" i="270" s="1"/>
  <c r="J45" i="270" s="1"/>
  <c r="I36" i="270"/>
  <c r="I17" i="270"/>
  <c r="J17" i="270" s="1"/>
  <c r="J19" i="270"/>
  <c r="I8" i="270"/>
  <c r="J8" i="270" s="1"/>
  <c r="I18" i="177"/>
  <c r="J18" i="177" s="1"/>
  <c r="H39" i="177"/>
  <c r="H41" i="177" s="1"/>
  <c r="G46" i="267" s="1"/>
  <c r="H46" i="267" s="1"/>
  <c r="I46" i="267" s="1"/>
  <c r="H39" i="268"/>
  <c r="I160" i="324"/>
  <c r="H314" i="324"/>
  <c r="I23" i="324"/>
  <c r="J23" i="324" s="1"/>
  <c r="H7" i="268"/>
  <c r="I7" i="268" s="1"/>
  <c r="J7" i="268" s="1"/>
  <c r="H145" i="324"/>
  <c r="H21" i="268"/>
  <c r="H40" i="268" s="1"/>
  <c r="I6" i="268"/>
  <c r="I7" i="324"/>
  <c r="J7" i="324" s="1"/>
  <c r="G33" i="267"/>
  <c r="H33" i="267" s="1"/>
  <c r="I33" i="267" s="1"/>
  <c r="H53" i="268"/>
  <c r="I53" i="268" s="1"/>
  <c r="J53" i="268" s="1"/>
  <c r="H36" i="182"/>
  <c r="I30" i="182"/>
  <c r="J30" i="182" s="1"/>
  <c r="G11" i="267"/>
  <c r="I207" i="323"/>
  <c r="J207" i="323" s="1"/>
  <c r="H25" i="272"/>
  <c r="I25" i="272" s="1"/>
  <c r="J25" i="272" s="1"/>
  <c r="I185" i="323"/>
  <c r="J185" i="323" s="1"/>
  <c r="H339" i="323"/>
  <c r="I339" i="323" s="1"/>
  <c r="J339" i="323" s="1"/>
  <c r="H39" i="272"/>
  <c r="I186" i="323"/>
  <c r="J186" i="323" s="1"/>
  <c r="I24" i="272"/>
  <c r="I17" i="323"/>
  <c r="J17" i="323" s="1"/>
  <c r="H7" i="272"/>
  <c r="H171" i="323"/>
  <c r="J6" i="272"/>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334"/>
  <c r="A1" i="175"/>
  <c r="A1" i="242"/>
  <c r="A1" i="173"/>
  <c r="A1" i="183"/>
  <c r="A1" i="318"/>
  <c r="A1" i="238"/>
  <c r="A1" i="174"/>
  <c r="A1" i="317"/>
  <c r="A1" i="180"/>
  <c r="A1" i="269"/>
  <c r="A1" i="335"/>
  <c r="A1" i="270"/>
  <c r="A1" i="325"/>
  <c r="A1" i="181"/>
  <c r="A1" i="326"/>
  <c r="A1" i="333"/>
  <c r="A1" i="178"/>
  <c r="A1" i="251"/>
  <c r="A1" i="323"/>
  <c r="A1" i="177"/>
  <c r="A1" i="182"/>
  <c r="A1" i="268"/>
  <c r="A1" i="272"/>
  <c r="A1" i="267"/>
  <c r="A1" i="324"/>
  <c r="A1" i="330"/>
  <c r="D64" i="100"/>
  <c r="G40" i="272" l="1"/>
  <c r="I26" i="330"/>
  <c r="J26" i="330" s="1"/>
  <c r="E171" i="326"/>
  <c r="E171" i="335"/>
  <c r="G166" i="333"/>
  <c r="I166" i="333" s="1"/>
  <c r="J166" i="333" s="1"/>
  <c r="F166" i="333"/>
  <c r="J8" i="269"/>
  <c r="G39" i="174"/>
  <c r="F43" i="178"/>
  <c r="F54" i="178" s="1"/>
  <c r="I314" i="324"/>
  <c r="J314" i="324" s="1"/>
  <c r="F316" i="324"/>
  <c r="J204" i="324"/>
  <c r="I29" i="268"/>
  <c r="J29" i="268" s="1"/>
  <c r="G40" i="268"/>
  <c r="G46" i="174" s="1"/>
  <c r="G8" i="174" s="1"/>
  <c r="F171" i="335"/>
  <c r="G316" i="324"/>
  <c r="F28" i="267"/>
  <c r="G171" i="242"/>
  <c r="G171" i="335"/>
  <c r="G86" i="268"/>
  <c r="F171" i="326"/>
  <c r="E28" i="267"/>
  <c r="F171" i="242"/>
  <c r="G171" i="326"/>
  <c r="I63" i="268"/>
  <c r="F20" i="267"/>
  <c r="F23" i="267" s="1"/>
  <c r="F25" i="267" s="1"/>
  <c r="H11" i="267"/>
  <c r="I11" i="267" s="1"/>
  <c r="G256" i="330"/>
  <c r="F341" i="323"/>
  <c r="F40" i="272"/>
  <c r="G49" i="241"/>
  <c r="F49" i="241"/>
  <c r="F248" i="330"/>
  <c r="I20" i="241"/>
  <c r="J20" i="241" s="1"/>
  <c r="G26" i="241"/>
  <c r="F256" i="330"/>
  <c r="I16" i="241"/>
  <c r="J16" i="241" s="1"/>
  <c r="F26" i="241"/>
  <c r="G248" i="330"/>
  <c r="I10" i="241"/>
  <c r="J10" i="241" s="1"/>
  <c r="H166" i="335"/>
  <c r="I166" i="335" s="1"/>
  <c r="J166" i="335" s="1"/>
  <c r="H166" i="325"/>
  <c r="I166" i="325" s="1"/>
  <c r="J166" i="325" s="1"/>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J33" i="269"/>
  <c r="H61" i="270"/>
  <c r="H63" i="270" s="1"/>
  <c r="J36" i="270"/>
  <c r="I61" i="270"/>
  <c r="I33" i="270"/>
  <c r="I63" i="270" s="1"/>
  <c r="J33" i="270"/>
  <c r="I25" i="268"/>
  <c r="J160" i="324"/>
  <c r="H316" i="324"/>
  <c r="I316" i="324" s="1"/>
  <c r="J316" i="324" s="1"/>
  <c r="G28" i="267"/>
  <c r="H28" i="267" s="1"/>
  <c r="I28" i="267" s="1"/>
  <c r="I145" i="324"/>
  <c r="J145" i="324" s="1"/>
  <c r="H86" i="268"/>
  <c r="J6" i="268"/>
  <c r="I21" i="268"/>
  <c r="H63" i="268"/>
  <c r="J63" i="268" s="1"/>
  <c r="I36" i="182"/>
  <c r="H38" i="182"/>
  <c r="H42" i="182" s="1"/>
  <c r="H44" i="182" s="1"/>
  <c r="H46" i="182" s="1"/>
  <c r="H48" i="182" s="1"/>
  <c r="G18" i="267"/>
  <c r="J24" i="272"/>
  <c r="I39" i="272"/>
  <c r="J39" i="272" s="1"/>
  <c r="I7" i="272"/>
  <c r="H21" i="272"/>
  <c r="H40" i="272" s="1"/>
  <c r="I171" i="323"/>
  <c r="J171" i="323" s="1"/>
  <c r="H341" i="323"/>
  <c r="I341" i="323" s="1"/>
  <c r="J341" i="323" s="1"/>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H26" i="241"/>
  <c r="I6" i="241"/>
  <c r="H125" i="330"/>
  <c r="I6" i="330"/>
  <c r="J6" i="330" s="1"/>
  <c r="F50" i="241" l="1"/>
  <c r="G50" i="241"/>
  <c r="H171" i="242"/>
  <c r="H171" i="335"/>
  <c r="H171" i="326"/>
  <c r="H104" i="318"/>
  <c r="I104" i="318" s="1"/>
  <c r="J104" i="318" s="1"/>
  <c r="I49" i="318"/>
  <c r="J49" i="318" s="1"/>
  <c r="I64" i="269"/>
  <c r="J64" i="269" s="1"/>
  <c r="J63" i="270"/>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<sst xmlns="http://schemas.openxmlformats.org/spreadsheetml/2006/main" count="2987" uniqueCount="1460">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</sst>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647966518.10000002</c:v>
                </c:pt>
                <c:pt idx="1">
                  <c:v>125816778.75</c:v>
                </c:pt>
                <c:pt idx="2">
                  <c:v>100265811.34</c:v>
                </c:pt>
                <c:pt idx="3">
                  <c:v>67346119.559999987</c:v>
                </c:pt>
                <c:pt idx="4">
                  <c:v>93741619.730000004</c:v>
                </c:pt>
                <c:pt idx="5">
                  <c:v>92530151.920000002</c:v>
                </c:pt>
                <c:pt idx="6">
                  <c:v>542179754.99000001</c:v>
                </c:pt>
                <c:pt idx="7">
                  <c:v>2942218257.9099998</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752655157.24599993</c:v>
                </c:pt>
                <c:pt idx="1">
                  <c:v>209982950.14429998</c:v>
                </c:pt>
                <c:pt idx="2">
                  <c:v>3285157228.8477998</c:v>
                </c:pt>
                <c:pt idx="3">
                  <c:v>225907725.69289997</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775933151.79999995</c:v>
                </c:pt>
                <c:pt idx="1">
                  <c:v>216477268.19</c:v>
                </c:pt>
                <c:pt idx="2">
                  <c:v>3386760029.7399998</c:v>
                </c:pt>
                <c:pt idx="3">
                  <c:v>232894562.56999999</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266648898</c:v>
                </c:pt>
                <c:pt idx="1">
                  <c:v>72313674.590000004</c:v>
                </c:pt>
                <c:pt idx="2">
                  <c:v>0</c:v>
                </c:pt>
                <c:pt idx="3">
                  <c:v>173036022.27000001</c:v>
                </c:pt>
                <c:pt idx="4">
                  <c:v>0</c:v>
                </c:pt>
                <c:pt idx="5">
                  <c:v>0</c:v>
                </c:pt>
                <c:pt idx="6">
                  <c:v>53671217.329999998</c:v>
                </c:pt>
                <c:pt idx="7">
                  <c:v>0</c:v>
                </c:pt>
                <c:pt idx="8">
                  <c:v>256518896.22</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131868757.81999999</c:v>
                </c:pt>
                <c:pt idx="1">
                  <c:v>213184955.55000001</c:v>
                </c:pt>
                <c:pt idx="2">
                  <c:v>0</c:v>
                </c:pt>
                <c:pt idx="3">
                  <c:v>177479193.75999999</c:v>
                </c:pt>
                <c:pt idx="4">
                  <c:v>0</c:v>
                </c:pt>
                <c:pt idx="5">
                  <c:v>0</c:v>
                </c:pt>
                <c:pt idx="6">
                  <c:v>81327943.890000015</c:v>
                </c:pt>
                <c:pt idx="7">
                  <c:v>532174.01</c:v>
                </c:pt>
                <c:pt idx="8">
                  <c:v>365654604.62</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2"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2433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K40"/>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4" t="str">
        <f>muni&amp; " - "&amp;S71C&amp; " - "&amp;date</f>
        <v>KZN225 Msunduzi - Table C3 Consolidated Monthly Budget Statement - Financial Performance (revenue and expenditure by municipal vote)  - M02 August</v>
      </c>
      <c r="B1" s="1044"/>
      <c r="C1" s="1044"/>
      <c r="D1" s="1044"/>
      <c r="E1" s="1044"/>
      <c r="F1" s="1044"/>
      <c r="G1" s="1044"/>
      <c r="H1" s="1044"/>
      <c r="I1" s="1044"/>
      <c r="J1" s="1044"/>
      <c r="K1" s="1044"/>
    </row>
    <row r="2" spans="1:24" x14ac:dyDescent="0.25">
      <c r="A2" s="20" t="str">
        <f>Vdesc</f>
        <v>Vote Description</v>
      </c>
      <c r="B2" s="1035" t="str">
        <f>head27</f>
        <v>Ref</v>
      </c>
      <c r="C2" s="142" t="str">
        <f>Head1</f>
        <v>2019/20</v>
      </c>
      <c r="D2" s="1037" t="str">
        <f>Head2</f>
        <v>Budget Year 2020/21</v>
      </c>
      <c r="E2" s="1038"/>
      <c r="F2" s="1038"/>
      <c r="G2" s="1038"/>
      <c r="H2" s="1038"/>
      <c r="I2" s="1038"/>
      <c r="J2" s="1038"/>
      <c r="K2" s="1039"/>
    </row>
    <row r="3" spans="1:24" ht="25.5" x14ac:dyDescent="0.25">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0</v>
      </c>
      <c r="F6" s="44">
        <f>'C3C'!F6</f>
        <v>0</v>
      </c>
      <c r="G6" s="44">
        <f>'C3C'!G6</f>
        <v>0</v>
      </c>
      <c r="H6" s="44">
        <f>'C3C'!H6</f>
        <v>741255.0022333333</v>
      </c>
      <c r="I6" s="44">
        <f>G6-H6</f>
        <v>-741255.0022333333</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0</v>
      </c>
      <c r="F7" s="44">
        <f>'C3C'!F17</f>
        <v>248295024.99999994</v>
      </c>
      <c r="G7" s="44">
        <f>'C3C'!G17</f>
        <v>352476401.89999998</v>
      </c>
      <c r="H7" s="44">
        <f>'C3C'!H17</f>
        <v>399355657.63118887</v>
      </c>
      <c r="I7" s="44">
        <f t="shared" ref="I7:I20" si="0">G7-H7</f>
        <v>-46879255.731188893</v>
      </c>
      <c r="J7" s="715">
        <f t="shared" ref="J7:J21" si="1">IF(I7=0,"",I7/H7)</f>
        <v>-0.11738723324781995</v>
      </c>
      <c r="K7" s="144">
        <f>'C3C'!K17</f>
        <v>2396133945.7871332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0</v>
      </c>
      <c r="F8" s="44">
        <f>'C3C'!F28</f>
        <v>23225897.539999999</v>
      </c>
      <c r="G8" s="44">
        <f>'C3C'!G28</f>
        <v>30842480.870000001</v>
      </c>
      <c r="H8" s="44">
        <f>'C3C'!H28</f>
        <v>35777390.715965286</v>
      </c>
      <c r="I8" s="44">
        <f t="shared" si="0"/>
        <v>-4934909.8459652849</v>
      </c>
      <c r="J8" s="715">
        <f t="shared" si="1"/>
        <v>-0.13793375501146127</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0</v>
      </c>
      <c r="F9" s="44">
        <f>'C3C'!F39</f>
        <v>0</v>
      </c>
      <c r="G9" s="44">
        <f>'C3C'!G39</f>
        <v>396429.06</v>
      </c>
      <c r="H9" s="44">
        <f>'C3C'!H39</f>
        <v>3206530.1144166668</v>
      </c>
      <c r="I9" s="44">
        <f t="shared" si="0"/>
        <v>-2810101.0544166667</v>
      </c>
      <c r="J9" s="715">
        <f t="shared" si="1"/>
        <v>-0.8763682092933911</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0</v>
      </c>
      <c r="F10" s="44">
        <f>'C3C'!F50</f>
        <v>430014963.93999994</v>
      </c>
      <c r="G10" s="44">
        <f>'C3C'!G50</f>
        <v>733828092.41999996</v>
      </c>
      <c r="H10" s="44">
        <f>'C3C'!H50</f>
        <v>562724395.4502486</v>
      </c>
      <c r="I10" s="44">
        <f t="shared" si="0"/>
        <v>171103696.96975136</v>
      </c>
      <c r="J10" s="715">
        <f t="shared" si="1"/>
        <v>0.30406305174107012</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0</v>
      </c>
      <c r="F11" s="44">
        <f>'C3C'!F61</f>
        <v>9528659.929999873</v>
      </c>
      <c r="G11" s="44">
        <f>'C3C'!G61</f>
        <v>12674097.269999569</v>
      </c>
      <c r="H11" s="44">
        <f>'C3C'!H61</f>
        <v>72145077.564624563</v>
      </c>
      <c r="I11" s="44">
        <f t="shared" si="0"/>
        <v>-59470980.294624992</v>
      </c>
      <c r="J11" s="715">
        <f t="shared" si="1"/>
        <v>-0.82432485073362571</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0</v>
      </c>
      <c r="F21" s="73">
        <f t="shared" si="2"/>
        <v>711064546.40999973</v>
      </c>
      <c r="G21" s="73">
        <f t="shared" si="2"/>
        <v>1130217501.5199995</v>
      </c>
      <c r="H21" s="73">
        <f t="shared" si="2"/>
        <v>1073950306.4786773</v>
      </c>
      <c r="I21" s="73">
        <f t="shared" si="2"/>
        <v>56267195.041322194</v>
      </c>
      <c r="J21" s="716">
        <f t="shared" si="1"/>
        <v>5.2392736146064267E-2</v>
      </c>
      <c r="K21" s="145">
        <f>SUM(K6:K20)</f>
        <v>6443701838.8720646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0</v>
      </c>
      <c r="F24" s="44">
        <f>'C3C'!F174</f>
        <v>10326017.279999999</v>
      </c>
      <c r="G24" s="44">
        <f>'C3C'!G174</f>
        <v>18572303.149999995</v>
      </c>
      <c r="H24" s="44">
        <f>'C3C'!H174</f>
        <v>30300892.645970441</v>
      </c>
      <c r="I24" s="44">
        <f t="shared" ref="I24:I38" si="3">G24-H24</f>
        <v>-11728589.495970447</v>
      </c>
      <c r="J24" s="715">
        <f t="shared" ref="J24:J29" si="4">IF(I24=0,"",I24/H24)</f>
        <v>-0.38707075837682198</v>
      </c>
      <c r="K24" s="144">
        <f>'C3C'!K174</f>
        <v>181805355.87582266</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0</v>
      </c>
      <c r="F25" s="44">
        <f>'C3C'!F185</f>
        <v>21904157.999999996</v>
      </c>
      <c r="G25" s="44">
        <f>'C3C'!G185</f>
        <v>35065523.060000002</v>
      </c>
      <c r="H25" s="44">
        <f>'C3C'!H185</f>
        <v>116812943.54000486</v>
      </c>
      <c r="I25" s="44">
        <f t="shared" si="3"/>
        <v>-81747420.480004862</v>
      </c>
      <c r="J25" s="715">
        <f t="shared" si="4"/>
        <v>-0.69981474657394338</v>
      </c>
      <c r="K25" s="144">
        <f>'C3C'!K185</f>
        <v>700877661.2400291</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0</v>
      </c>
      <c r="F26" s="44">
        <f>'C3C'!F196</f>
        <v>76699104.599999979</v>
      </c>
      <c r="G26" s="44">
        <f>'C3C'!G196</f>
        <v>137259209.15000001</v>
      </c>
      <c r="H26" s="44">
        <f>'C3C'!H196</f>
        <v>123958602.36043257</v>
      </c>
      <c r="I26" s="44">
        <f t="shared" si="3"/>
        <v>13300606.789567441</v>
      </c>
      <c r="J26" s="715">
        <f t="shared" si="4"/>
        <v>0.10729877988534807</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0</v>
      </c>
      <c r="F27" s="44">
        <f>'C3C'!F207</f>
        <v>10470456.879999999</v>
      </c>
      <c r="G27" s="44">
        <f>'C3C'!G207</f>
        <v>19478061.060000002</v>
      </c>
      <c r="H27" s="44">
        <f>'C3C'!H207</f>
        <v>33424825.065206699</v>
      </c>
      <c r="I27" s="44">
        <f t="shared" si="3"/>
        <v>-13946764.005206697</v>
      </c>
      <c r="J27" s="715">
        <f t="shared" si="4"/>
        <v>-0.41725765140127741</v>
      </c>
      <c r="K27" s="144">
        <f>'C3C'!K207</f>
        <v>200548950.39124021</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0</v>
      </c>
      <c r="F28" s="44">
        <f>'C3C'!F218</f>
        <v>444120397.16000032</v>
      </c>
      <c r="G28" s="44">
        <f>'C3C'!G218</f>
        <v>491836222.21999997</v>
      </c>
      <c r="H28" s="44">
        <f>'C3C'!H218</f>
        <v>565548119.87951362</v>
      </c>
      <c r="I28" s="44">
        <f t="shared" si="3"/>
        <v>-73711897.659513652</v>
      </c>
      <c r="J28" s="715">
        <f t="shared" si="4"/>
        <v>-0.13033709258058801</v>
      </c>
      <c r="K28" s="144">
        <f>'C3C'!K218</f>
        <v>3393288719.277081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0</v>
      </c>
      <c r="F29" s="44">
        <f>'C3C'!F229</f>
        <v>17594843.379999816</v>
      </c>
      <c r="G29" s="44">
        <f>'C3C'!G229</f>
        <v>33836613.579999819</v>
      </c>
      <c r="H29" s="44">
        <f>'C3C'!H229</f>
        <v>49367528.099643894</v>
      </c>
      <c r="I29" s="44">
        <f t="shared" si="3"/>
        <v>-15530914.519644074</v>
      </c>
      <c r="J29" s="715">
        <f t="shared" si="4"/>
        <v>-0.31459777545062267</v>
      </c>
      <c r="K29" s="144">
        <f>'C3C'!K229</f>
        <v>296205168.59786338</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0</v>
      </c>
      <c r="F39" s="430">
        <f t="shared" si="6"/>
        <v>581114977.30000019</v>
      </c>
      <c r="G39" s="430">
        <f t="shared" si="6"/>
        <v>736047932.21999979</v>
      </c>
      <c r="H39" s="430">
        <f t="shared" si="6"/>
        <v>919412911.59077215</v>
      </c>
      <c r="I39" s="430">
        <f t="shared" si="6"/>
        <v>-183364979.3707723</v>
      </c>
      <c r="J39" s="718">
        <f>IF(I39=0,"",I39/H39)</f>
        <v>-0.19943702884649883</v>
      </c>
      <c r="K39" s="513">
        <f>SUM(K24:K38)</f>
        <v>5516477469.544631</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0</v>
      </c>
      <c r="F40" s="55">
        <f t="shared" si="7"/>
        <v>129949569.10999954</v>
      </c>
      <c r="G40" s="55">
        <f t="shared" si="7"/>
        <v>394169569.29999971</v>
      </c>
      <c r="H40" s="55">
        <f t="shared" si="7"/>
        <v>154537394.88790512</v>
      </c>
      <c r="I40" s="55">
        <f>I21-I39</f>
        <v>239632174.4120945</v>
      </c>
      <c r="J40" s="719">
        <f>IF(I40=0,"",I40/H40)</f>
        <v>1.5506419956536315</v>
      </c>
      <c r="K40" s="235">
        <f>K21-K39</f>
        <v>927224369.32743359</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99" activePane="bottomRight" state="frozen"/>
      <selection pane="topRight"/>
      <selection pane="bottomLeft"/>
      <selection pane="bottomRight" activeCell="F230" sqref="F230:G230"/>
    </sheetView>
  </sheetViews>
  <sheetFormatPr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M02 August</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0</v>
      </c>
      <c r="F6" s="443">
        <f t="shared" si="0"/>
        <v>0</v>
      </c>
      <c r="G6" s="441">
        <f t="shared" si="0"/>
        <v>0</v>
      </c>
      <c r="H6" s="443">
        <f t="shared" si="0"/>
        <v>741255.0022333333</v>
      </c>
      <c r="I6" s="44">
        <f t="shared" ref="I6:I69" si="1">G6-H6</f>
        <v>-741255.0022333333</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f>D7/12</f>
        <v>0</v>
      </c>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c r="F8" s="742"/>
      <c r="G8" s="741"/>
      <c r="H8" s="742">
        <f>D8/12*2</f>
        <v>741255.0022333333</v>
      </c>
      <c r="I8" s="44">
        <f t="shared" si="1"/>
        <v>-741255.0022333333</v>
      </c>
      <c r="J8" s="330">
        <f t="shared" si="2"/>
        <v>-1</v>
      </c>
      <c r="K8" s="743">
        <f>D8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f>D9/12</f>
        <v>0</v>
      </c>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f>D10/12</f>
        <v>0</v>
      </c>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0</v>
      </c>
      <c r="F17" s="443">
        <f t="shared" si="3"/>
        <v>248295024.99999994</v>
      </c>
      <c r="G17" s="441">
        <f t="shared" si="3"/>
        <v>352476401.89999998</v>
      </c>
      <c r="H17" s="443">
        <f t="shared" si="3"/>
        <v>399355657.63118887</v>
      </c>
      <c r="I17" s="44">
        <f t="shared" si="1"/>
        <v>-46879255.731188893</v>
      </c>
      <c r="J17" s="330">
        <f t="shared" si="2"/>
        <v>-0.11738723324781995</v>
      </c>
      <c r="K17" s="442">
        <f t="shared" si="3"/>
        <v>2396133945.7871332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-5988266.1199999992</v>
      </c>
      <c r="G18" s="741">
        <v>-4822884.51</v>
      </c>
      <c r="H18" s="742">
        <f t="shared" ref="H18:H22" si="4">D18/12*2</f>
        <v>0</v>
      </c>
      <c r="I18" s="44">
        <f t="shared" si="1"/>
        <v>-4822884.51</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c r="F19" s="742">
        <v>148606986.45999998</v>
      </c>
      <c r="G19" s="741">
        <v>148548793.78999999</v>
      </c>
      <c r="H19" s="742">
        <f t="shared" si="4"/>
        <v>86431833.333333492</v>
      </c>
      <c r="I19" s="44">
        <f t="shared" si="1"/>
        <v>62116960.456666499</v>
      </c>
      <c r="J19" s="330">
        <f t="shared" si="2"/>
        <v>0.71868150959040611</v>
      </c>
      <c r="K19" s="743">
        <f>D19</f>
        <v>518591000.00000095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v>0</v>
      </c>
      <c r="G20" s="741">
        <v>0</v>
      </c>
      <c r="H20" s="742">
        <f t="shared" si="4"/>
        <v>0</v>
      </c>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c r="F21" s="742">
        <v>105673899.47999994</v>
      </c>
      <c r="G21" s="741">
        <v>208745098.43999997</v>
      </c>
      <c r="H21" s="742">
        <f t="shared" si="4"/>
        <v>312923824.29785538</v>
      </c>
      <c r="I21" s="44">
        <f t="shared" si="1"/>
        <v>-104178725.85785541</v>
      </c>
      <c r="J21" s="330">
        <f t="shared" si="2"/>
        <v>-0.33292040352508689</v>
      </c>
      <c r="K21" s="743">
        <f>D21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2405.1799999999998</v>
      </c>
      <c r="G22" s="741">
        <v>5394.18</v>
      </c>
      <c r="H22" s="742">
        <f t="shared" si="4"/>
        <v>0</v>
      </c>
      <c r="I22" s="44">
        <f t="shared" si="1"/>
        <v>5394.18</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5">SUM(C29:C38)</f>
        <v>0</v>
      </c>
      <c r="D28" s="444">
        <f t="shared" si="5"/>
        <v>214664344.29579172</v>
      </c>
      <c r="E28" s="441">
        <f t="shared" si="5"/>
        <v>0</v>
      </c>
      <c r="F28" s="443">
        <f t="shared" si="5"/>
        <v>23225897.539999999</v>
      </c>
      <c r="G28" s="441">
        <f t="shared" si="5"/>
        <v>30842480.870000001</v>
      </c>
      <c r="H28" s="443">
        <f t="shared" si="5"/>
        <v>35777390.715965286</v>
      </c>
      <c r="I28" s="44">
        <f t="shared" si="1"/>
        <v>-4934909.8459652849</v>
      </c>
      <c r="J28" s="330">
        <f t="shared" si="2"/>
        <v>-0.13793375501146127</v>
      </c>
      <c r="K28" s="442">
        <f t="shared" si="5"/>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c r="F29" s="742">
        <v>1739.42</v>
      </c>
      <c r="G29" s="741">
        <v>1750.17</v>
      </c>
      <c r="H29" s="741">
        <f t="shared" ref="H29:H32" si="6">D29/12*2</f>
        <v>587198.04696666659</v>
      </c>
      <c r="I29" s="258">
        <f t="shared" si="1"/>
        <v>-585447.87696666655</v>
      </c>
      <c r="J29" s="330">
        <f t="shared" si="2"/>
        <v>-0.99701945534553282</v>
      </c>
      <c r="K29" s="743">
        <f>D29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c r="F30" s="742">
        <v>199399.7</v>
      </c>
      <c r="G30" s="741">
        <v>262851.58</v>
      </c>
      <c r="H30" s="742">
        <f t="shared" si="6"/>
        <v>802422.31079999998</v>
      </c>
      <c r="I30" s="44">
        <f t="shared" si="1"/>
        <v>-539570.73080000002</v>
      </c>
      <c r="J30" s="330">
        <f t="shared" si="2"/>
        <v>-0.6724273783739364</v>
      </c>
      <c r="K30" s="743">
        <f>D30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c r="F31" s="742">
        <v>2920684.63</v>
      </c>
      <c r="G31" s="741">
        <v>945114.92999999993</v>
      </c>
      <c r="H31" s="742">
        <f t="shared" si="6"/>
        <v>3662675.7978780717</v>
      </c>
      <c r="I31" s="44">
        <f t="shared" si="1"/>
        <v>-2717560.867878072</v>
      </c>
      <c r="J31" s="330">
        <f t="shared" si="2"/>
        <v>-0.74196052772469212</v>
      </c>
      <c r="K31" s="743">
        <f>D31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c r="F32" s="742">
        <v>20104073.789999999</v>
      </c>
      <c r="G32" s="741">
        <v>29632764.190000001</v>
      </c>
      <c r="H32" s="742">
        <f t="shared" si="6"/>
        <v>30725094.560320545</v>
      </c>
      <c r="I32" s="44">
        <f t="shared" si="1"/>
        <v>-1092330.3703205436</v>
      </c>
      <c r="J32" s="330">
        <f t="shared" si="2"/>
        <v>-3.555173339421442E-2</v>
      </c>
      <c r="K32" s="743">
        <f>D32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0</v>
      </c>
      <c r="F39" s="443">
        <f t="shared" si="7"/>
        <v>0</v>
      </c>
      <c r="G39" s="441">
        <f t="shared" si="7"/>
        <v>396429.06</v>
      </c>
      <c r="H39" s="443">
        <f t="shared" si="7"/>
        <v>3206530.1144166668</v>
      </c>
      <c r="I39" s="44">
        <f t="shared" si="1"/>
        <v>-2810101.0544166667</v>
      </c>
      <c r="J39" s="330">
        <f t="shared" si="2"/>
        <v>-0.8763682092933911</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c r="F40" s="742"/>
      <c r="G40" s="741">
        <v>396429.06</v>
      </c>
      <c r="H40" s="742">
        <f t="shared" ref="H40:H44" si="8">D40/12*2</f>
        <v>3163343.1068166667</v>
      </c>
      <c r="I40" s="44">
        <f t="shared" si="1"/>
        <v>-2766914.0468166666</v>
      </c>
      <c r="J40" s="330">
        <f t="shared" si="2"/>
        <v>-0.87468034714737775</v>
      </c>
      <c r="K40" s="743">
        <f>D40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c r="F41" s="742"/>
      <c r="G41" s="741"/>
      <c r="H41" s="742">
        <f t="shared" si="8"/>
        <v>336.0023333333333</v>
      </c>
      <c r="I41" s="44">
        <f t="shared" si="1"/>
        <v>-336.0023333333333</v>
      </c>
      <c r="J41" s="330">
        <f t="shared" si="2"/>
        <v>-1</v>
      </c>
      <c r="K41" s="743">
        <f>D41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c r="F42" s="742"/>
      <c r="G42" s="741"/>
      <c r="H42" s="742">
        <f t="shared" si="8"/>
        <v>42851.005266666667</v>
      </c>
      <c r="I42" s="44">
        <f t="shared" si="1"/>
        <v>-42851.005266666667</v>
      </c>
      <c r="J42" s="330">
        <f t="shared" si="2"/>
        <v>-1</v>
      </c>
      <c r="K42" s="743">
        <f>D42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f t="shared" si="8"/>
        <v>0</v>
      </c>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f t="shared" si="8"/>
        <v>0</v>
      </c>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9">SUM(D51:D60)</f>
        <v>3376346372.7014918</v>
      </c>
      <c r="E50" s="441">
        <f t="shared" si="9"/>
        <v>0</v>
      </c>
      <c r="F50" s="443">
        <f t="shared" si="9"/>
        <v>430014963.93999994</v>
      </c>
      <c r="G50" s="441">
        <f t="shared" si="9"/>
        <v>733828092.41999996</v>
      </c>
      <c r="H50" s="443">
        <f t="shared" si="9"/>
        <v>562724395.4502486</v>
      </c>
      <c r="I50" s="44">
        <f t="shared" si="1"/>
        <v>171103696.96975136</v>
      </c>
      <c r="J50" s="330">
        <f t="shared" si="2"/>
        <v>0.30406305174107012</v>
      </c>
      <c r="K50" s="442">
        <f t="shared" si="9"/>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c r="F51" s="742">
        <v>223150755.06999996</v>
      </c>
      <c r="G51" s="741">
        <v>439331988.78999996</v>
      </c>
      <c r="H51" s="742">
        <f t="shared" ref="H51:H55" si="10">D51/12*2</f>
        <v>297917851.24781173</v>
      </c>
      <c r="I51" s="44">
        <f t="shared" si="1"/>
        <v>141414137.54218823</v>
      </c>
      <c r="J51" s="330">
        <f t="shared" si="2"/>
        <v>0.47467493790614851</v>
      </c>
      <c r="K51" s="743">
        <f>D51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c r="F52" s="742">
        <v>777559.13</v>
      </c>
      <c r="G52" s="741">
        <v>777559.13</v>
      </c>
      <c r="H52" s="742">
        <f t="shared" si="10"/>
        <v>3272950.5440500001</v>
      </c>
      <c r="I52" s="44">
        <f t="shared" si="1"/>
        <v>-2495391.4140500003</v>
      </c>
      <c r="J52" s="330">
        <f t="shared" si="2"/>
        <v>-0.76242869559592064</v>
      </c>
      <c r="K52" s="743">
        <f>D52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c r="F53" s="742">
        <v>9935623.1000000015</v>
      </c>
      <c r="G53" s="741">
        <v>10449717.900000002</v>
      </c>
      <c r="H53" s="742">
        <f t="shared" si="10"/>
        <v>10965466.625885867</v>
      </c>
      <c r="I53" s="44">
        <f t="shared" si="1"/>
        <v>-515748.72588586435</v>
      </c>
      <c r="J53" s="330">
        <f t="shared" si="2"/>
        <v>-4.7033905941435354E-2</v>
      </c>
      <c r="K53" s="743">
        <f>D53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c r="F54" s="742">
        <v>196151026.63999999</v>
      </c>
      <c r="G54" s="741">
        <v>283268826.60000002</v>
      </c>
      <c r="H54" s="742">
        <f t="shared" si="10"/>
        <v>250568127.03250101</v>
      </c>
      <c r="I54" s="44">
        <f t="shared" si="1"/>
        <v>32700699.567499012</v>
      </c>
      <c r="J54" s="330">
        <f t="shared" si="2"/>
        <v>0.13050622181989421</v>
      </c>
      <c r="K54" s="743">
        <f>D54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f t="shared" si="10"/>
        <v>0</v>
      </c>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1">SUM(D62:D71)</f>
        <v>432870465.38774735</v>
      </c>
      <c r="E61" s="441">
        <f t="shared" si="11"/>
        <v>0</v>
      </c>
      <c r="F61" s="443">
        <f t="shared" si="11"/>
        <v>9528659.929999873</v>
      </c>
      <c r="G61" s="441">
        <f t="shared" si="11"/>
        <v>12674097.269999569</v>
      </c>
      <c r="H61" s="443">
        <f t="shared" si="11"/>
        <v>72145077.564624563</v>
      </c>
      <c r="I61" s="44">
        <f t="shared" si="1"/>
        <v>-59470980.294624992</v>
      </c>
      <c r="J61" s="330">
        <f t="shared" si="2"/>
        <v>-0.82432485073362571</v>
      </c>
      <c r="K61" s="442">
        <f t="shared" si="11"/>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1746819.5799998762</v>
      </c>
      <c r="G62" s="741">
        <v>2531407.7099995711</v>
      </c>
      <c r="H62" s="742">
        <f t="shared" ref="H62:H66" si="12">D62/12*2</f>
        <v>0</v>
      </c>
      <c r="I62" s="44">
        <f t="shared" si="1"/>
        <v>2531407.7099995711</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c r="F63" s="742">
        <v>4530.58</v>
      </c>
      <c r="G63" s="741">
        <v>16606.940000000002</v>
      </c>
      <c r="H63" s="742">
        <f t="shared" si="12"/>
        <v>6837047.8597333329</v>
      </c>
      <c r="I63" s="44">
        <f t="shared" si="1"/>
        <v>-6820440.9197333325</v>
      </c>
      <c r="J63" s="330">
        <f t="shared" si="2"/>
        <v>-0.99757103645598177</v>
      </c>
      <c r="K63" s="743">
        <f>D63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c r="F64" s="742">
        <v>7590158.0999999968</v>
      </c>
      <c r="G64" s="741">
        <v>10929952.68</v>
      </c>
      <c r="H64" s="742">
        <f t="shared" si="12"/>
        <v>54706212.923891224</v>
      </c>
      <c r="I64" s="44">
        <f t="shared" si="1"/>
        <v>-43776260.243891224</v>
      </c>
      <c r="J64" s="330">
        <f t="shared" si="2"/>
        <v>-0.80020637335642208</v>
      </c>
      <c r="K64" s="743">
        <f>D64</f>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c r="F65" s="742">
        <v>187151.66999999998</v>
      </c>
      <c r="G65" s="741">
        <v>-803870.05999999994</v>
      </c>
      <c r="H65" s="742">
        <f t="shared" si="12"/>
        <v>10601816.781000001</v>
      </c>
      <c r="I65" s="44">
        <f t="shared" si="1"/>
        <v>-11405686.841000002</v>
      </c>
      <c r="J65" s="330">
        <f t="shared" si="2"/>
        <v>-1.0758238023355253</v>
      </c>
      <c r="K65" s="743">
        <f>D65</f>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f t="shared" si="12"/>
        <v>0</v>
      </c>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3">G70-H70</f>
        <v>0</v>
      </c>
      <c r="J70" s="330" t="str">
        <f t="shared" ref="J70:J133" si="14">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3"/>
        <v>0</v>
      </c>
      <c r="J71" s="330" t="str">
        <f t="shared" si="14"/>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5">SUM(C73:C82)</f>
        <v>0</v>
      </c>
      <c r="D72" s="444">
        <f t="shared" si="15"/>
        <v>0</v>
      </c>
      <c r="E72" s="441">
        <f t="shared" si="15"/>
        <v>0</v>
      </c>
      <c r="F72" s="443">
        <f t="shared" si="15"/>
        <v>0</v>
      </c>
      <c r="G72" s="441">
        <f t="shared" si="15"/>
        <v>0</v>
      </c>
      <c r="H72" s="443">
        <f t="shared" si="15"/>
        <v>0</v>
      </c>
      <c r="I72" s="44">
        <f t="shared" si="13"/>
        <v>0</v>
      </c>
      <c r="J72" s="330" t="str">
        <f t="shared" si="14"/>
        <v/>
      </c>
      <c r="K72" s="442">
        <f t="shared" si="15"/>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3"/>
        <v>0</v>
      </c>
      <c r="J73" s="330" t="str">
        <f t="shared" si="14"/>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3"/>
        <v>0</v>
      </c>
      <c r="J74" s="330" t="str">
        <f t="shared" si="14"/>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3"/>
        <v>0</v>
      </c>
      <c r="J75" s="330" t="str">
        <f t="shared" si="14"/>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3"/>
        <v>0</v>
      </c>
      <c r="J76" s="330" t="str">
        <f t="shared" si="14"/>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3"/>
        <v>0</v>
      </c>
      <c r="J77" s="330" t="str">
        <f t="shared" si="14"/>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3"/>
        <v>0</v>
      </c>
      <c r="J78" s="330" t="str">
        <f t="shared" si="14"/>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3"/>
        <v>0</v>
      </c>
      <c r="J79" s="330" t="str">
        <f t="shared" si="14"/>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3"/>
        <v>0</v>
      </c>
      <c r="J80" s="330" t="str">
        <f t="shared" si="14"/>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3"/>
        <v>0</v>
      </c>
      <c r="J81" s="330" t="str">
        <f t="shared" si="14"/>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3"/>
        <v>0</v>
      </c>
      <c r="J82" s="330" t="str">
        <f t="shared" si="14"/>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6">SUM(D84:D93)</f>
        <v>0</v>
      </c>
      <c r="E83" s="441">
        <f t="shared" si="16"/>
        <v>0</v>
      </c>
      <c r="F83" s="443">
        <f t="shared" si="16"/>
        <v>0</v>
      </c>
      <c r="G83" s="441">
        <f t="shared" si="16"/>
        <v>0</v>
      </c>
      <c r="H83" s="443">
        <f t="shared" si="16"/>
        <v>0</v>
      </c>
      <c r="I83" s="44">
        <f t="shared" si="13"/>
        <v>0</v>
      </c>
      <c r="J83" s="330" t="str">
        <f t="shared" si="14"/>
        <v/>
      </c>
      <c r="K83" s="442">
        <f t="shared" si="16"/>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3"/>
        <v>0</v>
      </c>
      <c r="J84" s="330" t="str">
        <f t="shared" si="14"/>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3"/>
        <v>0</v>
      </c>
      <c r="J85" s="330" t="str">
        <f t="shared" si="14"/>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3"/>
        <v>0</v>
      </c>
      <c r="J86" s="330" t="str">
        <f t="shared" si="14"/>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3"/>
        <v>0</v>
      </c>
      <c r="J87" s="330" t="str">
        <f t="shared" si="14"/>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3"/>
        <v>0</v>
      </c>
      <c r="J88" s="330" t="str">
        <f t="shared" si="14"/>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3"/>
        <v>0</v>
      </c>
      <c r="J89" s="330" t="str">
        <f t="shared" si="14"/>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3"/>
        <v>0</v>
      </c>
      <c r="J90" s="330" t="str">
        <f t="shared" si="14"/>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3"/>
        <v>0</v>
      </c>
      <c r="J91" s="330" t="str">
        <f t="shared" si="14"/>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3"/>
        <v>0</v>
      </c>
      <c r="J92" s="330" t="str">
        <f t="shared" si="14"/>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3"/>
        <v>0</v>
      </c>
      <c r="J93" s="330" t="str">
        <f t="shared" si="14"/>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7">SUM(D95:D104)</f>
        <v>0</v>
      </c>
      <c r="E94" s="441">
        <f t="shared" si="17"/>
        <v>0</v>
      </c>
      <c r="F94" s="443">
        <f t="shared" si="17"/>
        <v>0</v>
      </c>
      <c r="G94" s="441">
        <f t="shared" si="17"/>
        <v>0</v>
      </c>
      <c r="H94" s="443">
        <f t="shared" si="17"/>
        <v>0</v>
      </c>
      <c r="I94" s="44">
        <f t="shared" si="13"/>
        <v>0</v>
      </c>
      <c r="J94" s="330" t="str">
        <f t="shared" si="14"/>
        <v/>
      </c>
      <c r="K94" s="442">
        <f t="shared" si="17"/>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3"/>
        <v>0</v>
      </c>
      <c r="J95" s="330" t="str">
        <f t="shared" si="14"/>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3"/>
        <v>0</v>
      </c>
      <c r="J96" s="330" t="str">
        <f t="shared" si="14"/>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3"/>
        <v>0</v>
      </c>
      <c r="J97" s="330" t="str">
        <f t="shared" si="14"/>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3"/>
        <v>0</v>
      </c>
      <c r="J98" s="330" t="str">
        <f t="shared" si="14"/>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3"/>
        <v>0</v>
      </c>
      <c r="J99" s="330" t="str">
        <f t="shared" si="14"/>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3"/>
        <v>0</v>
      </c>
      <c r="J100" s="330" t="str">
        <f t="shared" si="14"/>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3"/>
        <v>0</v>
      </c>
      <c r="J101" s="330" t="str">
        <f t="shared" si="14"/>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3"/>
        <v>0</v>
      </c>
      <c r="J102" s="330" t="str">
        <f t="shared" si="14"/>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3"/>
        <v>0</v>
      </c>
      <c r="J103" s="330" t="str">
        <f t="shared" si="14"/>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3"/>
        <v>0</v>
      </c>
      <c r="J104" s="330" t="str">
        <f t="shared" si="14"/>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8">SUM(D106:D115)</f>
        <v>0</v>
      </c>
      <c r="E105" s="441">
        <f t="shared" si="18"/>
        <v>0</v>
      </c>
      <c r="F105" s="443">
        <f t="shared" si="18"/>
        <v>0</v>
      </c>
      <c r="G105" s="441">
        <f t="shared" si="18"/>
        <v>0</v>
      </c>
      <c r="H105" s="443">
        <f t="shared" si="18"/>
        <v>0</v>
      </c>
      <c r="I105" s="44">
        <f t="shared" si="13"/>
        <v>0</v>
      </c>
      <c r="J105" s="330" t="str">
        <f t="shared" si="14"/>
        <v/>
      </c>
      <c r="K105" s="442">
        <f t="shared" si="18"/>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3"/>
        <v>0</v>
      </c>
      <c r="J106" s="330" t="str">
        <f t="shared" si="14"/>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3"/>
        <v>0</v>
      </c>
      <c r="J107" s="330" t="str">
        <f t="shared" si="14"/>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3"/>
        <v>0</v>
      </c>
      <c r="J108" s="330" t="str">
        <f t="shared" si="14"/>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3"/>
        <v>0</v>
      </c>
      <c r="J109" s="330" t="str">
        <f t="shared" si="14"/>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3"/>
        <v>0</v>
      </c>
      <c r="J110" s="330" t="str">
        <f t="shared" si="14"/>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3"/>
        <v>0</v>
      </c>
      <c r="J111" s="330" t="str">
        <f t="shared" si="14"/>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3"/>
        <v>0</v>
      </c>
      <c r="J112" s="330" t="str">
        <f t="shared" si="14"/>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3"/>
        <v>0</v>
      </c>
      <c r="J113" s="330" t="str">
        <f t="shared" si="14"/>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3"/>
        <v>0</v>
      </c>
      <c r="J114" s="330" t="str">
        <f t="shared" si="14"/>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3"/>
        <v>0</v>
      </c>
      <c r="J115" s="330" t="str">
        <f t="shared" si="14"/>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9">SUM(D117:D126)</f>
        <v>0</v>
      </c>
      <c r="E116" s="441">
        <f t="shared" si="19"/>
        <v>0</v>
      </c>
      <c r="F116" s="443">
        <f t="shared" si="19"/>
        <v>0</v>
      </c>
      <c r="G116" s="441">
        <f t="shared" si="19"/>
        <v>0</v>
      </c>
      <c r="H116" s="443">
        <f t="shared" si="19"/>
        <v>0</v>
      </c>
      <c r="I116" s="44">
        <f t="shared" si="13"/>
        <v>0</v>
      </c>
      <c r="J116" s="330" t="str">
        <f t="shared" si="14"/>
        <v/>
      </c>
      <c r="K116" s="442">
        <f t="shared" si="19"/>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3"/>
        <v>0</v>
      </c>
      <c r="J117" s="330" t="str">
        <f t="shared" si="14"/>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3"/>
        <v>0</v>
      </c>
      <c r="J118" s="330" t="str">
        <f t="shared" si="14"/>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3"/>
        <v>0</v>
      </c>
      <c r="J119" s="330" t="str">
        <f t="shared" si="14"/>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3"/>
        <v>0</v>
      </c>
      <c r="J120" s="330" t="str">
        <f t="shared" si="14"/>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3"/>
        <v>0</v>
      </c>
      <c r="J121" s="330" t="str">
        <f t="shared" si="14"/>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3"/>
        <v>0</v>
      </c>
      <c r="J122" s="330" t="str">
        <f t="shared" si="14"/>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3"/>
        <v>0</v>
      </c>
      <c r="J123" s="330" t="str">
        <f t="shared" si="14"/>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3"/>
        <v>0</v>
      </c>
      <c r="J124" s="330" t="str">
        <f t="shared" si="14"/>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3"/>
        <v>0</v>
      </c>
      <c r="J125" s="330" t="str">
        <f t="shared" si="14"/>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3"/>
        <v>0</v>
      </c>
      <c r="J126" s="330" t="str">
        <f t="shared" si="14"/>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0">SUM(D128:D137)</f>
        <v>0</v>
      </c>
      <c r="E127" s="441">
        <f t="shared" si="20"/>
        <v>0</v>
      </c>
      <c r="F127" s="443">
        <f t="shared" si="20"/>
        <v>0</v>
      </c>
      <c r="G127" s="441">
        <f t="shared" si="20"/>
        <v>0</v>
      </c>
      <c r="H127" s="443">
        <f t="shared" si="20"/>
        <v>0</v>
      </c>
      <c r="I127" s="44">
        <f t="shared" si="13"/>
        <v>0</v>
      </c>
      <c r="J127" s="330" t="str">
        <f t="shared" si="14"/>
        <v/>
      </c>
      <c r="K127" s="442">
        <f t="shared" si="20"/>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3"/>
        <v>0</v>
      </c>
      <c r="J128" s="330" t="str">
        <f t="shared" si="14"/>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3"/>
        <v>0</v>
      </c>
      <c r="J129" s="330" t="str">
        <f t="shared" si="14"/>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3"/>
        <v>0</v>
      </c>
      <c r="J130" s="330" t="str">
        <f t="shared" si="14"/>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3"/>
        <v>0</v>
      </c>
      <c r="J131" s="330" t="str">
        <f t="shared" si="14"/>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3"/>
        <v>0</v>
      </c>
      <c r="J132" s="330" t="str">
        <f t="shared" si="14"/>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3"/>
        <v>0</v>
      </c>
      <c r="J133" s="330" t="str">
        <f t="shared" si="14"/>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1">G134-H134</f>
        <v>0</v>
      </c>
      <c r="J134" s="330" t="str">
        <f t="shared" ref="J134:J197" si="22">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1"/>
        <v>0</v>
      </c>
      <c r="J135" s="330" t="str">
        <f t="shared" si="22"/>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1"/>
        <v>0</v>
      </c>
      <c r="J136" s="330" t="str">
        <f t="shared" si="22"/>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1"/>
        <v>0</v>
      </c>
      <c r="J137" s="330" t="str">
        <f t="shared" si="22"/>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3">SUM(D139:D148)</f>
        <v>0</v>
      </c>
      <c r="E138" s="441">
        <f t="shared" si="23"/>
        <v>0</v>
      </c>
      <c r="F138" s="443">
        <f t="shared" si="23"/>
        <v>0</v>
      </c>
      <c r="G138" s="441">
        <f t="shared" si="23"/>
        <v>0</v>
      </c>
      <c r="H138" s="443">
        <f t="shared" si="23"/>
        <v>0</v>
      </c>
      <c r="I138" s="44">
        <f t="shared" si="21"/>
        <v>0</v>
      </c>
      <c r="J138" s="330" t="str">
        <f t="shared" si="22"/>
        <v/>
      </c>
      <c r="K138" s="442">
        <f t="shared" si="23"/>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1"/>
        <v>0</v>
      </c>
      <c r="J139" s="330" t="str">
        <f t="shared" si="22"/>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1"/>
        <v>0</v>
      </c>
      <c r="J140" s="330" t="str">
        <f t="shared" si="22"/>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1"/>
        <v>0</v>
      </c>
      <c r="J141" s="330" t="str">
        <f t="shared" si="22"/>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1"/>
        <v>0</v>
      </c>
      <c r="J142" s="330" t="str">
        <f t="shared" si="22"/>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1"/>
        <v>0</v>
      </c>
      <c r="J143" s="330" t="str">
        <f t="shared" si="22"/>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1"/>
        <v>0</v>
      </c>
      <c r="J144" s="330" t="str">
        <f t="shared" si="22"/>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1"/>
        <v>0</v>
      </c>
      <c r="J145" s="330" t="str">
        <f t="shared" si="22"/>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1"/>
        <v>0</v>
      </c>
      <c r="J146" s="330" t="str">
        <f t="shared" si="22"/>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1"/>
        <v>0</v>
      </c>
      <c r="J147" s="330" t="str">
        <f t="shared" si="22"/>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1"/>
        <v>0</v>
      </c>
      <c r="J148" s="330" t="str">
        <f t="shared" si="22"/>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4">SUM(D150:D159)</f>
        <v>0</v>
      </c>
      <c r="E149" s="441">
        <f t="shared" si="24"/>
        <v>0</v>
      </c>
      <c r="F149" s="443">
        <f t="shared" si="24"/>
        <v>0</v>
      </c>
      <c r="G149" s="441">
        <f t="shared" si="24"/>
        <v>0</v>
      </c>
      <c r="H149" s="443">
        <f t="shared" si="24"/>
        <v>0</v>
      </c>
      <c r="I149" s="44">
        <f t="shared" si="21"/>
        <v>0</v>
      </c>
      <c r="J149" s="330" t="str">
        <f t="shared" si="22"/>
        <v/>
      </c>
      <c r="K149" s="442">
        <f t="shared" si="24"/>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1"/>
        <v>0</v>
      </c>
      <c r="J150" s="330" t="str">
        <f t="shared" si="22"/>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1"/>
        <v>0</v>
      </c>
      <c r="J151" s="330" t="str">
        <f t="shared" si="22"/>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1"/>
        <v>0</v>
      </c>
      <c r="J152" s="330" t="str">
        <f t="shared" si="22"/>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1"/>
        <v>0</v>
      </c>
      <c r="J153" s="330" t="str">
        <f t="shared" si="22"/>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1"/>
        <v>0</v>
      </c>
      <c r="J154" s="330" t="str">
        <f t="shared" si="22"/>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1"/>
        <v>0</v>
      </c>
      <c r="J155" s="330" t="str">
        <f t="shared" si="22"/>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1"/>
        <v>0</v>
      </c>
      <c r="J156" s="330" t="str">
        <f t="shared" si="22"/>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1"/>
        <v>0</v>
      </c>
      <c r="J157" s="330" t="str">
        <f t="shared" si="22"/>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1"/>
        <v>0</v>
      </c>
      <c r="J158" s="330" t="str">
        <f t="shared" si="22"/>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1"/>
        <v>0</v>
      </c>
      <c r="J159" s="330" t="str">
        <f t="shared" si="22"/>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5">SUM(D161:D170)</f>
        <v>0</v>
      </c>
      <c r="E160" s="441">
        <f t="shared" si="25"/>
        <v>0</v>
      </c>
      <c r="F160" s="443">
        <f t="shared" si="25"/>
        <v>0</v>
      </c>
      <c r="G160" s="441">
        <f t="shared" si="25"/>
        <v>0</v>
      </c>
      <c r="H160" s="443">
        <f t="shared" si="25"/>
        <v>0</v>
      </c>
      <c r="I160" s="44">
        <f t="shared" si="21"/>
        <v>0</v>
      </c>
      <c r="J160" s="330" t="str">
        <f t="shared" si="22"/>
        <v/>
      </c>
      <c r="K160" s="442">
        <f t="shared" si="25"/>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1"/>
        <v>0</v>
      </c>
      <c r="J161" s="330" t="str">
        <f t="shared" si="22"/>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1"/>
        <v>0</v>
      </c>
      <c r="J162" s="330" t="str">
        <f t="shared" si="22"/>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1"/>
        <v>0</v>
      </c>
      <c r="J163" s="330" t="str">
        <f t="shared" si="22"/>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1"/>
        <v>0</v>
      </c>
      <c r="J164" s="330" t="str">
        <f t="shared" si="22"/>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1"/>
        <v>0</v>
      </c>
      <c r="J165" s="330" t="str">
        <f t="shared" si="22"/>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1"/>
        <v>0</v>
      </c>
      <c r="J166" s="330" t="str">
        <f t="shared" si="22"/>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1"/>
        <v>0</v>
      </c>
      <c r="J167" s="330" t="str">
        <f t="shared" si="22"/>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1"/>
        <v>0</v>
      </c>
      <c r="J168" s="330" t="str">
        <f t="shared" si="22"/>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1"/>
        <v>0</v>
      </c>
      <c r="J169" s="330" t="str">
        <f t="shared" si="22"/>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1"/>
        <v>0</v>
      </c>
      <c r="J170" s="330" t="str">
        <f t="shared" si="22"/>
        <v/>
      </c>
      <c r="K170" s="743"/>
      <c r="L170" s="452">
        <f t="shared" ref="L170:W170" si="26">SUM(L78:L81)</f>
        <v>0</v>
      </c>
      <c r="M170" s="453">
        <f t="shared" si="26"/>
        <v>0</v>
      </c>
      <c r="N170" s="453">
        <f t="shared" si="26"/>
        <v>0</v>
      </c>
      <c r="O170" s="453">
        <f t="shared" si="26"/>
        <v>0</v>
      </c>
      <c r="P170" s="453">
        <f t="shared" si="26"/>
        <v>0</v>
      </c>
      <c r="Q170" s="453">
        <f t="shared" si="26"/>
        <v>0</v>
      </c>
      <c r="R170" s="453">
        <f t="shared" si="26"/>
        <v>0</v>
      </c>
      <c r="S170" s="453">
        <f t="shared" si="26"/>
        <v>0</v>
      </c>
      <c r="T170" s="453">
        <f t="shared" si="26"/>
        <v>0</v>
      </c>
      <c r="U170" s="453">
        <f t="shared" si="26"/>
        <v>0</v>
      </c>
      <c r="V170" s="453">
        <f t="shared" si="26"/>
        <v>0</v>
      </c>
      <c r="W170" s="453">
        <f t="shared" si="26"/>
        <v>0</v>
      </c>
    </row>
    <row r="171" spans="1:23" ht="12.75" customHeight="1" x14ac:dyDescent="0.25">
      <c r="A171" s="447" t="s">
        <v>635</v>
      </c>
      <c r="B171" s="415">
        <v>2</v>
      </c>
      <c r="C171" s="504">
        <f>C6+C17+C28+C39+C50+C61+C72+C83+C94+C105+C116+C127+C138+C149+C160</f>
        <v>0</v>
      </c>
      <c r="D171" s="451">
        <f t="shared" ref="D171:K171" si="27">D6+D17+D28+D39+D50+D61+D72+D83+D94+D105+D116+D127+D138+D149+D160</f>
        <v>6443701838.8720646</v>
      </c>
      <c r="E171" s="448">
        <f t="shared" si="27"/>
        <v>0</v>
      </c>
      <c r="F171" s="450">
        <f t="shared" si="27"/>
        <v>711064546.40999973</v>
      </c>
      <c r="G171" s="448">
        <f t="shared" si="27"/>
        <v>1130217501.5199995</v>
      </c>
      <c r="H171" s="450">
        <f t="shared" si="27"/>
        <v>1073950306.4786773</v>
      </c>
      <c r="I171" s="514">
        <f t="shared" si="21"/>
        <v>56267195.041322231</v>
      </c>
      <c r="J171" s="515">
        <f t="shared" si="22"/>
        <v>5.2392736146064302E-2</v>
      </c>
      <c r="K171" s="449">
        <f t="shared" si="27"/>
        <v>6443701838.8720646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1"/>
        <v>0</v>
      </c>
      <c r="J172" s="133" t="str">
        <f t="shared" si="22"/>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1"/>
        <v>0</v>
      </c>
      <c r="J173" s="330" t="str">
        <f t="shared" si="22"/>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8">SUM(C175:C184)</f>
        <v>0</v>
      </c>
      <c r="D174" s="471">
        <f t="shared" si="28"/>
        <v>181805355.87582266</v>
      </c>
      <c r="E174" s="468">
        <f t="shared" si="28"/>
        <v>0</v>
      </c>
      <c r="F174" s="470">
        <f t="shared" si="28"/>
        <v>10326017.279999999</v>
      </c>
      <c r="G174" s="468">
        <f t="shared" si="28"/>
        <v>18572303.149999995</v>
      </c>
      <c r="H174" s="470">
        <f t="shared" si="28"/>
        <v>30300892.645970441</v>
      </c>
      <c r="I174" s="44">
        <f t="shared" si="21"/>
        <v>-11728589.495970447</v>
      </c>
      <c r="J174" s="330">
        <f t="shared" si="22"/>
        <v>-0.38707075837682198</v>
      </c>
      <c r="K174" s="469">
        <f t="shared" si="28"/>
        <v>181805355.87582266</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c r="F175" s="746">
        <v>488074.03999999992</v>
      </c>
      <c r="G175" s="733">
        <v>1048459.5399999999</v>
      </c>
      <c r="H175" s="746">
        <f t="shared" ref="H175:H178" si="29">D175/12*2</f>
        <v>3292942.9439486656</v>
      </c>
      <c r="I175" s="44">
        <f t="shared" si="21"/>
        <v>-2244483.4039486656</v>
      </c>
      <c r="J175" s="330">
        <f t="shared" si="22"/>
        <v>-0.68160409765777441</v>
      </c>
      <c r="K175" s="747">
        <f>D175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c r="F176" s="746">
        <v>3827092.6400000006</v>
      </c>
      <c r="G176" s="733">
        <v>5633318.2400000012</v>
      </c>
      <c r="H176" s="746">
        <f t="shared" si="29"/>
        <v>7054458.8303593397</v>
      </c>
      <c r="I176" s="44">
        <f t="shared" si="21"/>
        <v>-1421140.5903593386</v>
      </c>
      <c r="J176" s="330">
        <f t="shared" si="22"/>
        <v>-0.20145281509665405</v>
      </c>
      <c r="K176" s="747">
        <f>D176</f>
        <v>42326752.982156038</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c r="F177" s="746">
        <v>5584089.4799999986</v>
      </c>
      <c r="G177" s="733">
        <v>11044756.319999993</v>
      </c>
      <c r="H177" s="746">
        <f t="shared" si="29"/>
        <v>17812055.739602435</v>
      </c>
      <c r="I177" s="44">
        <f t="shared" si="21"/>
        <v>-6767299.4196024425</v>
      </c>
      <c r="J177" s="330">
        <f t="shared" si="22"/>
        <v>-0.37992803966789568</v>
      </c>
      <c r="K177" s="747">
        <f>D177</f>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c r="F178" s="746">
        <v>426761.12000000005</v>
      </c>
      <c r="G178" s="733">
        <v>845769.05000000016</v>
      </c>
      <c r="H178" s="746">
        <f t="shared" si="29"/>
        <v>2141435.1320599997</v>
      </c>
      <c r="I178" s="44">
        <f t="shared" si="21"/>
        <v>-1295666.0820599995</v>
      </c>
      <c r="J178" s="330">
        <f t="shared" si="22"/>
        <v>-0.60504568299185668</v>
      </c>
      <c r="K178" s="747">
        <f>D178</f>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1"/>
        <v>0</v>
      </c>
      <c r="J179" s="330" t="str">
        <f t="shared" si="22"/>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1"/>
        <v>0</v>
      </c>
      <c r="J180" s="330" t="str">
        <f t="shared" si="22"/>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1"/>
        <v>0</v>
      </c>
      <c r="J181" s="330" t="str">
        <f t="shared" si="22"/>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1"/>
        <v>0</v>
      </c>
      <c r="J182" s="330" t="str">
        <f t="shared" si="22"/>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1"/>
        <v>0</v>
      </c>
      <c r="J183" s="330" t="str">
        <f t="shared" si="22"/>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1"/>
        <v>0</v>
      </c>
      <c r="J184" s="330" t="str">
        <f t="shared" si="22"/>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0">SUM(E186:E195)</f>
        <v>0</v>
      </c>
      <c r="F185" s="443">
        <f t="shared" si="30"/>
        <v>21904157.999999996</v>
      </c>
      <c r="G185" s="441">
        <f t="shared" si="30"/>
        <v>35065523.060000002</v>
      </c>
      <c r="H185" s="443">
        <f t="shared" si="30"/>
        <v>116812943.54000486</v>
      </c>
      <c r="I185" s="44">
        <f t="shared" si="21"/>
        <v>-81747420.480004862</v>
      </c>
      <c r="J185" s="330">
        <f t="shared" si="22"/>
        <v>-0.69981474657394338</v>
      </c>
      <c r="K185" s="442">
        <f t="shared" si="30"/>
        <v>700877661.2400291</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c r="F186" s="746">
        <v>3832021.0499999966</v>
      </c>
      <c r="G186" s="733">
        <v>6685106.799999998</v>
      </c>
      <c r="H186" s="746">
        <f t="shared" ref="H186:H190" si="31">D186/12*2</f>
        <v>15764165.312454754</v>
      </c>
      <c r="I186" s="44">
        <f t="shared" si="21"/>
        <v>-9079058.5124547556</v>
      </c>
      <c r="J186" s="330">
        <f t="shared" si="22"/>
        <v>-0.57593017660641299</v>
      </c>
      <c r="K186" s="747">
        <f>D186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c r="F187" s="746">
        <v>6552222.3300000001</v>
      </c>
      <c r="G187" s="733">
        <v>8496626.0800000019</v>
      </c>
      <c r="H187" s="746">
        <f t="shared" si="31"/>
        <v>5711751.3479162799</v>
      </c>
      <c r="I187" s="44">
        <f t="shared" si="21"/>
        <v>2784874.732083722</v>
      </c>
      <c r="J187" s="330">
        <f t="shared" si="22"/>
        <v>0.48756932199082509</v>
      </c>
      <c r="K187" s="747">
        <f>D187</f>
        <v>34270508.087497681</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c r="F188" s="746">
        <v>1248093.97</v>
      </c>
      <c r="G188" s="733">
        <v>2387399.0899999994</v>
      </c>
      <c r="H188" s="746">
        <f t="shared" si="31"/>
        <v>80829727.934918001</v>
      </c>
      <c r="I188" s="44">
        <f t="shared" si="21"/>
        <v>-78442328.844917998</v>
      </c>
      <c r="J188" s="330">
        <f t="shared" si="22"/>
        <v>-0.97046384849987033</v>
      </c>
      <c r="K188" s="747">
        <f>D188</f>
        <v>484978367.60950798</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c r="F189" s="746">
        <v>7896949.5899999989</v>
      </c>
      <c r="G189" s="733">
        <v>13059218.800000008</v>
      </c>
      <c r="H189" s="746">
        <f t="shared" si="31"/>
        <v>3706547.5760897347</v>
      </c>
      <c r="I189" s="44">
        <f t="shared" si="21"/>
        <v>9352671.223910274</v>
      </c>
      <c r="J189" s="330">
        <f t="shared" si="22"/>
        <v>2.5232837382805116</v>
      </c>
      <c r="K189" s="747">
        <f>D189</f>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c r="F190" s="746">
        <v>2374871.06</v>
      </c>
      <c r="G190" s="733">
        <v>4437172.2899999991</v>
      </c>
      <c r="H190" s="746">
        <f t="shared" si="31"/>
        <v>10800751.368626084</v>
      </c>
      <c r="I190" s="44">
        <f t="shared" si="21"/>
        <v>-6363579.0786260851</v>
      </c>
      <c r="J190" s="330">
        <f t="shared" si="22"/>
        <v>-0.5891792951656073</v>
      </c>
      <c r="K190" s="747">
        <f>D190</f>
        <v>64804508.211756505</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1"/>
        <v>0</v>
      </c>
      <c r="J191" s="330" t="str">
        <f t="shared" si="22"/>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1"/>
        <v>0</v>
      </c>
      <c r="J192" s="330" t="str">
        <f t="shared" si="22"/>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1"/>
        <v>0</v>
      </c>
      <c r="J193" s="330" t="str">
        <f t="shared" si="22"/>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1"/>
        <v>0</v>
      </c>
      <c r="J194" s="330" t="str">
        <f t="shared" si="22"/>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1"/>
        <v>0</v>
      </c>
      <c r="J195" s="330" t="str">
        <f t="shared" si="22"/>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2">SUM(C197:C206)</f>
        <v>0</v>
      </c>
      <c r="D196" s="444">
        <f t="shared" si="32"/>
        <v>743751614.16259539</v>
      </c>
      <c r="E196" s="441">
        <f t="shared" si="32"/>
        <v>0</v>
      </c>
      <c r="F196" s="443">
        <f t="shared" si="32"/>
        <v>76699104.599999979</v>
      </c>
      <c r="G196" s="441">
        <f t="shared" si="32"/>
        <v>137259209.15000001</v>
      </c>
      <c r="H196" s="443">
        <f t="shared" si="32"/>
        <v>123958602.36043257</v>
      </c>
      <c r="I196" s="44">
        <f t="shared" si="21"/>
        <v>13300606.789567441</v>
      </c>
      <c r="J196" s="330">
        <f t="shared" si="22"/>
        <v>0.10729877988534807</v>
      </c>
      <c r="K196" s="442">
        <f t="shared" si="32"/>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2968696.74</v>
      </c>
      <c r="G197" s="733">
        <v>5705528.1500000013</v>
      </c>
      <c r="H197" s="746">
        <f t="shared" ref="H197:H200" si="33">D197/12*2</f>
        <v>0</v>
      </c>
      <c r="I197" s="44">
        <f t="shared" si="21"/>
        <v>5705528.1500000013</v>
      </c>
      <c r="J197" s="330" t="e">
        <f t="shared" si="22"/>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c r="F198" s="746">
        <v>27405860.820000008</v>
      </c>
      <c r="G198" s="733">
        <v>58643181.060000002</v>
      </c>
      <c r="H198" s="746">
        <f t="shared" si="33"/>
        <v>123958602.36043257</v>
      </c>
      <c r="I198" s="44">
        <f>G198-H198</f>
        <v>-65315421.300432563</v>
      </c>
      <c r="J198" s="330">
        <f t="shared" ref="J198:J261" si="34">IF(I198=0,"",I198/H198)</f>
        <v>-0.52691317953485706</v>
      </c>
      <c r="K198" s="747">
        <f>D198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37998965.399999969</v>
      </c>
      <c r="G199" s="733">
        <v>56864415.130000003</v>
      </c>
      <c r="H199" s="746">
        <f t="shared" si="33"/>
        <v>0</v>
      </c>
      <c r="I199" s="44">
        <f t="shared" ref="I199:I261" si="35">G199-H199</f>
        <v>56864415.130000003</v>
      </c>
      <c r="J199" s="330" t="e">
        <f t="shared" si="34"/>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8325581.6400000006</v>
      </c>
      <c r="G200" s="733">
        <v>16046084.810000002</v>
      </c>
      <c r="H200" s="746">
        <f t="shared" si="33"/>
        <v>0</v>
      </c>
      <c r="I200" s="44">
        <f t="shared" si="35"/>
        <v>16046084.810000002</v>
      </c>
      <c r="J200" s="330" t="e">
        <f t="shared" si="34"/>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5"/>
        <v>0</v>
      </c>
      <c r="J201" s="330" t="str">
        <f t="shared" si="34"/>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5"/>
        <v>0</v>
      </c>
      <c r="J202" s="330" t="str">
        <f t="shared" si="34"/>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5"/>
        <v>0</v>
      </c>
      <c r="J203" s="330" t="str">
        <f t="shared" si="34"/>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5"/>
        <v>0</v>
      </c>
      <c r="J204" s="330" t="str">
        <f t="shared" si="34"/>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5"/>
        <v>0</v>
      </c>
      <c r="J205" s="330" t="str">
        <f t="shared" si="34"/>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5"/>
        <v>0</v>
      </c>
      <c r="J206" s="330" t="str">
        <f t="shared" si="34"/>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6">SUM(C208:C217)</f>
        <v>0</v>
      </c>
      <c r="D207" s="444">
        <f t="shared" si="36"/>
        <v>200548950.39124021</v>
      </c>
      <c r="E207" s="441">
        <f t="shared" si="36"/>
        <v>0</v>
      </c>
      <c r="F207" s="443">
        <f t="shared" si="36"/>
        <v>10470456.879999999</v>
      </c>
      <c r="G207" s="441">
        <f t="shared" si="36"/>
        <v>19478061.060000002</v>
      </c>
      <c r="H207" s="443">
        <f t="shared" si="36"/>
        <v>33424825.065206699</v>
      </c>
      <c r="I207" s="44">
        <f t="shared" si="35"/>
        <v>-13946764.005206697</v>
      </c>
      <c r="J207" s="330">
        <f t="shared" si="34"/>
        <v>-0.41725765140127741</v>
      </c>
      <c r="K207" s="442">
        <f t="shared" si="36"/>
        <v>200548950.39124021</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c r="F208" s="472">
        <v>4745866.26</v>
      </c>
      <c r="G208" s="384">
        <v>7040312.1500000004</v>
      </c>
      <c r="H208" s="472">
        <f t="shared" ref="H208:H212" si="37">D208/12*2</f>
        <v>6183705.5096705994</v>
      </c>
      <c r="I208" s="44">
        <f t="shared" si="35"/>
        <v>856606.64032940101</v>
      </c>
      <c r="J208" s="330">
        <f t="shared" si="34"/>
        <v>0.13852642869065601</v>
      </c>
      <c r="K208" s="395">
        <f>D208</f>
        <v>37102233.058023594</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c r="F209" s="472">
        <v>2778656.93</v>
      </c>
      <c r="G209" s="384">
        <v>6655844.5300000021</v>
      </c>
      <c r="H209" s="472">
        <f t="shared" si="37"/>
        <v>717696.23818378977</v>
      </c>
      <c r="I209" s="44">
        <f t="shared" si="35"/>
        <v>5938148.2918162122</v>
      </c>
      <c r="J209" s="330">
        <f t="shared" si="34"/>
        <v>8.2739019321647245</v>
      </c>
      <c r="K209" s="395">
        <f>D209</f>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c r="F210" s="472">
        <v>771458.67999999993</v>
      </c>
      <c r="G210" s="384">
        <v>1518123.3</v>
      </c>
      <c r="H210" s="472">
        <f t="shared" si="37"/>
        <v>19604492.548622202</v>
      </c>
      <c r="I210" s="44">
        <f t="shared" si="35"/>
        <v>-18086369.248622201</v>
      </c>
      <c r="J210" s="330">
        <f t="shared" si="34"/>
        <v>-0.92256247917487189</v>
      </c>
      <c r="K210" s="395">
        <f>D210</f>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c r="F211" s="472">
        <v>1944301.5699999998</v>
      </c>
      <c r="G211" s="384">
        <v>3803106.6800000006</v>
      </c>
      <c r="H211" s="472">
        <f t="shared" si="37"/>
        <v>5083733.24049218</v>
      </c>
      <c r="I211" s="44">
        <f t="shared" si="35"/>
        <v>-1280626.5604921794</v>
      </c>
      <c r="J211" s="330">
        <f t="shared" si="34"/>
        <v>-0.25190671892300076</v>
      </c>
      <c r="K211" s="395">
        <f>D211</f>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c r="F212" s="472">
        <v>230173.44</v>
      </c>
      <c r="G212" s="384">
        <v>460674.4</v>
      </c>
      <c r="H212" s="472">
        <f t="shared" si="37"/>
        <v>1835197.5282379275</v>
      </c>
      <c r="I212" s="44">
        <f t="shared" si="35"/>
        <v>-1374523.1282379273</v>
      </c>
      <c r="J212" s="330">
        <f t="shared" si="34"/>
        <v>-0.74897830183853908</v>
      </c>
      <c r="K212" s="395">
        <f>D212</f>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5"/>
        <v>0</v>
      </c>
      <c r="J213" s="330" t="str">
        <f t="shared" si="34"/>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5"/>
        <v>0</v>
      </c>
      <c r="J214" s="330" t="str">
        <f t="shared" si="34"/>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5"/>
        <v>0</v>
      </c>
      <c r="J215" s="330" t="str">
        <f t="shared" si="34"/>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5"/>
        <v>0</v>
      </c>
      <c r="J216" s="330" t="str">
        <f t="shared" si="34"/>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5"/>
        <v>0</v>
      </c>
      <c r="J217" s="330" t="str">
        <f t="shared" si="34"/>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8">SUM(C219:C228)</f>
        <v>0</v>
      </c>
      <c r="D218" s="444">
        <f t="shared" si="38"/>
        <v>3393288719.277081</v>
      </c>
      <c r="E218" s="441">
        <f t="shared" si="38"/>
        <v>0</v>
      </c>
      <c r="F218" s="443">
        <f t="shared" si="38"/>
        <v>444120397.16000032</v>
      </c>
      <c r="G218" s="441">
        <f t="shared" si="38"/>
        <v>491836222.21999997</v>
      </c>
      <c r="H218" s="443">
        <f t="shared" si="38"/>
        <v>565548119.87951362</v>
      </c>
      <c r="I218" s="44">
        <f t="shared" si="35"/>
        <v>-73711897.659513652</v>
      </c>
      <c r="J218" s="330">
        <f t="shared" si="34"/>
        <v>-0.13033709258058801</v>
      </c>
      <c r="K218" s="442">
        <f t="shared" si="38"/>
        <v>3393288719.277081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c r="F219" s="472">
        <v>271970261.5400002</v>
      </c>
      <c r="G219" s="384">
        <v>285614742.42000008</v>
      </c>
      <c r="H219" s="472">
        <f t="shared" ref="H219:H223" si="39">D219/12*2</f>
        <v>325857865.74592012</v>
      </c>
      <c r="I219" s="44">
        <f t="shared" si="35"/>
        <v>-40243123.325920045</v>
      </c>
      <c r="J219" s="330">
        <f t="shared" si="34"/>
        <v>-0.12349900848273111</v>
      </c>
      <c r="K219" s="395">
        <f>D219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c r="F220" s="472">
        <v>849675.70000000019</v>
      </c>
      <c r="G220" s="384">
        <v>1646112.6799999997</v>
      </c>
      <c r="H220" s="472">
        <f t="shared" si="39"/>
        <v>9420441.1337256227</v>
      </c>
      <c r="I220" s="44">
        <f t="shared" si="35"/>
        <v>-7774328.453725623</v>
      </c>
      <c r="J220" s="330">
        <f t="shared" si="34"/>
        <v>-0.82526161390607933</v>
      </c>
      <c r="K220" s="395">
        <f>D220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c r="F221" s="472">
        <v>19097562.540000003</v>
      </c>
      <c r="G221" s="384">
        <v>38087274.590000004</v>
      </c>
      <c r="H221" s="472">
        <f t="shared" si="39"/>
        <v>15760456.319892151</v>
      </c>
      <c r="I221" s="44">
        <f t="shared" si="35"/>
        <v>22326818.27010785</v>
      </c>
      <c r="J221" s="330">
        <f t="shared" si="34"/>
        <v>1.416635268480642</v>
      </c>
      <c r="K221" s="395">
        <f>D221</f>
        <v>94562737.919352904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c r="F222" s="472">
        <v>152122885.41000006</v>
      </c>
      <c r="G222" s="384">
        <v>166328068.56999996</v>
      </c>
      <c r="H222" s="472">
        <f t="shared" si="39"/>
        <v>211131634.42432833</v>
      </c>
      <c r="I222" s="44">
        <f t="shared" si="35"/>
        <v>-44803565.854328364</v>
      </c>
      <c r="J222" s="330">
        <f t="shared" si="34"/>
        <v>-0.21220678737456752</v>
      </c>
      <c r="K222" s="395">
        <f>D222</f>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c r="F223" s="472">
        <v>80011.97</v>
      </c>
      <c r="G223" s="384">
        <v>160023.96</v>
      </c>
      <c r="H223" s="472">
        <f t="shared" si="39"/>
        <v>3377722.2556472546</v>
      </c>
      <c r="I223" s="44">
        <f t="shared" si="35"/>
        <v>-3217698.2956472547</v>
      </c>
      <c r="J223" s="330">
        <f t="shared" si="34"/>
        <v>-0.95262370677978214</v>
      </c>
      <c r="K223" s="395">
        <f>D223</f>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5"/>
        <v>0</v>
      </c>
      <c r="J224" s="330" t="str">
        <f t="shared" si="34"/>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5"/>
        <v>0</v>
      </c>
      <c r="J225" s="330" t="str">
        <f t="shared" si="34"/>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5"/>
        <v>0</v>
      </c>
      <c r="J226" s="330" t="str">
        <f t="shared" si="34"/>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5"/>
        <v>0</v>
      </c>
      <c r="J227" s="330" t="str">
        <f t="shared" si="34"/>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5"/>
        <v>0</v>
      </c>
      <c r="J228" s="330" t="str">
        <f t="shared" si="34"/>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0">SUM(C230:C239)</f>
        <v>0</v>
      </c>
      <c r="D229" s="444">
        <f t="shared" si="40"/>
        <v>296205168.59786338</v>
      </c>
      <c r="E229" s="441">
        <f t="shared" si="40"/>
        <v>0</v>
      </c>
      <c r="F229" s="443">
        <f t="shared" si="40"/>
        <v>17594843.379999816</v>
      </c>
      <c r="G229" s="441">
        <f t="shared" si="40"/>
        <v>33836613.579999819</v>
      </c>
      <c r="H229" s="443">
        <f t="shared" si="40"/>
        <v>49367528.099643894</v>
      </c>
      <c r="I229" s="44">
        <f t="shared" si="35"/>
        <v>-15530914.519644074</v>
      </c>
      <c r="J229" s="330">
        <f t="shared" si="34"/>
        <v>-0.31459777545062267</v>
      </c>
      <c r="K229" s="442">
        <f t="shared" si="40"/>
        <v>296205168.59786338</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c r="F230" s="472">
        <v>5947070.2899998156</v>
      </c>
      <c r="G230" s="384">
        <v>10357488.199999813</v>
      </c>
      <c r="H230" s="472">
        <f>D230/12*2</f>
        <v>49367528.099643894</v>
      </c>
      <c r="I230" s="44">
        <f t="shared" si="35"/>
        <v>-39010039.899644077</v>
      </c>
      <c r="J230" s="330">
        <f t="shared" si="34"/>
        <v>-0.79019633757853613</v>
      </c>
      <c r="K230" s="395">
        <f>D230</f>
        <v>296205168.59786338</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995394.41000000038</v>
      </c>
      <c r="G231" s="384">
        <v>1713912.7300000002</v>
      </c>
      <c r="H231" s="742"/>
      <c r="I231" s="44">
        <f t="shared" si="35"/>
        <v>1713912.7300000002</v>
      </c>
      <c r="J231" s="330" t="e">
        <f t="shared" si="34"/>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5375110.6299999999</v>
      </c>
      <c r="G232" s="384">
        <v>9906457.6100000013</v>
      </c>
      <c r="H232" s="742"/>
      <c r="I232" s="44">
        <f t="shared" si="35"/>
        <v>9906457.6100000013</v>
      </c>
      <c r="J232" s="330" t="e">
        <f t="shared" si="34"/>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5132312.1099999994</v>
      </c>
      <c r="G233" s="384">
        <v>11568843.160000002</v>
      </c>
      <c r="H233" s="742"/>
      <c r="I233" s="44">
        <f t="shared" si="35"/>
        <v>11568843.160000002</v>
      </c>
      <c r="J233" s="330" t="e">
        <f t="shared" si="34"/>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144955.93999999997</v>
      </c>
      <c r="G234" s="384">
        <v>289911.87999999995</v>
      </c>
      <c r="H234" s="742"/>
      <c r="I234" s="44">
        <f t="shared" si="35"/>
        <v>289911.87999999995</v>
      </c>
      <c r="J234" s="330" t="e">
        <f t="shared" si="34"/>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5"/>
        <v>0</v>
      </c>
      <c r="J235" s="330" t="str">
        <f t="shared" si="34"/>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5"/>
        <v>0</v>
      </c>
      <c r="J236" s="330" t="str">
        <f t="shared" si="34"/>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5"/>
        <v>0</v>
      </c>
      <c r="J237" s="330" t="str">
        <f t="shared" si="34"/>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5"/>
        <v>0</v>
      </c>
      <c r="J238" s="330" t="str">
        <f t="shared" si="34"/>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5"/>
        <v>0</v>
      </c>
      <c r="J239" s="330" t="str">
        <f t="shared" si="34"/>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1">SUM(C241:C250)</f>
        <v>0</v>
      </c>
      <c r="D240" s="444">
        <f t="shared" si="41"/>
        <v>0</v>
      </c>
      <c r="E240" s="441">
        <f t="shared" si="41"/>
        <v>0</v>
      </c>
      <c r="F240" s="443">
        <f t="shared" si="41"/>
        <v>0</v>
      </c>
      <c r="G240" s="441">
        <f t="shared" si="41"/>
        <v>0</v>
      </c>
      <c r="H240" s="443">
        <f t="shared" si="41"/>
        <v>0</v>
      </c>
      <c r="I240" s="44">
        <f t="shared" si="35"/>
        <v>0</v>
      </c>
      <c r="J240" s="330" t="str">
        <f t="shared" si="34"/>
        <v/>
      </c>
      <c r="K240" s="442">
        <f t="shared" si="4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5"/>
        <v>0</v>
      </c>
      <c r="J241" s="330" t="str">
        <f t="shared" si="34"/>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5"/>
        <v>0</v>
      </c>
      <c r="J242" s="330" t="str">
        <f t="shared" si="34"/>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5"/>
        <v>0</v>
      </c>
      <c r="J243" s="330" t="str">
        <f t="shared" si="34"/>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5"/>
        <v>0</v>
      </c>
      <c r="J244" s="330" t="str">
        <f t="shared" si="34"/>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5"/>
        <v>0</v>
      </c>
      <c r="J245" s="330" t="str">
        <f t="shared" si="34"/>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5"/>
        <v>0</v>
      </c>
      <c r="J246" s="330" t="str">
        <f t="shared" si="34"/>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5"/>
        <v>0</v>
      </c>
      <c r="J247" s="330" t="str">
        <f t="shared" si="34"/>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5"/>
        <v>0</v>
      </c>
      <c r="J248" s="330" t="str">
        <f t="shared" si="34"/>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5"/>
        <v>0</v>
      </c>
      <c r="J249" s="330" t="str">
        <f t="shared" si="34"/>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5"/>
        <v>0</v>
      </c>
      <c r="J250" s="330" t="str">
        <f t="shared" si="34"/>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2">SUM(C252:C261)</f>
        <v>0</v>
      </c>
      <c r="D251" s="444">
        <f t="shared" si="42"/>
        <v>0</v>
      </c>
      <c r="E251" s="441">
        <f t="shared" si="42"/>
        <v>0</v>
      </c>
      <c r="F251" s="443">
        <f t="shared" si="42"/>
        <v>0</v>
      </c>
      <c r="G251" s="441">
        <f t="shared" si="42"/>
        <v>0</v>
      </c>
      <c r="H251" s="443">
        <f t="shared" si="42"/>
        <v>0</v>
      </c>
      <c r="I251" s="44">
        <f t="shared" si="35"/>
        <v>0</v>
      </c>
      <c r="J251" s="330" t="str">
        <f t="shared" si="34"/>
        <v/>
      </c>
      <c r="K251" s="442">
        <f t="shared" si="4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5"/>
        <v>0</v>
      </c>
      <c r="J252" s="330" t="str">
        <f t="shared" si="34"/>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5"/>
        <v>0</v>
      </c>
      <c r="J253" s="330" t="str">
        <f t="shared" si="34"/>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5"/>
        <v>0</v>
      </c>
      <c r="J254" s="330" t="str">
        <f t="shared" si="34"/>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5"/>
        <v>0</v>
      </c>
      <c r="J255" s="330" t="str">
        <f t="shared" si="34"/>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5"/>
        <v>0</v>
      </c>
      <c r="J256" s="330" t="str">
        <f t="shared" si="34"/>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5"/>
        <v>0</v>
      </c>
      <c r="J257" s="330" t="str">
        <f t="shared" si="34"/>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5"/>
        <v>0</v>
      </c>
      <c r="J258" s="330" t="str">
        <f t="shared" si="34"/>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5"/>
        <v>0</v>
      </c>
      <c r="J259" s="330" t="str">
        <f t="shared" si="34"/>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5"/>
        <v>0</v>
      </c>
      <c r="J260" s="330" t="str">
        <f t="shared" si="34"/>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5"/>
        <v>0</v>
      </c>
      <c r="J261" s="330" t="str">
        <f t="shared" si="34"/>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3">SUM(C263:C272)</f>
        <v>0</v>
      </c>
      <c r="D262" s="444">
        <f t="shared" si="43"/>
        <v>0</v>
      </c>
      <c r="E262" s="441">
        <f t="shared" si="43"/>
        <v>0</v>
      </c>
      <c r="F262" s="443">
        <f t="shared" si="43"/>
        <v>0</v>
      </c>
      <c r="G262" s="441">
        <f t="shared" si="43"/>
        <v>0</v>
      </c>
      <c r="H262" s="443">
        <f t="shared" si="43"/>
        <v>0</v>
      </c>
      <c r="I262" s="44">
        <f t="shared" ref="I262:I325" si="44">G262-H262</f>
        <v>0</v>
      </c>
      <c r="J262" s="330" t="str">
        <f t="shared" ref="J262:J325" si="45">IF(I262=0,"",I262/H262)</f>
        <v/>
      </c>
      <c r="K262" s="442">
        <f t="shared" si="4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4"/>
        <v>0</v>
      </c>
      <c r="J263" s="330" t="str">
        <f t="shared" si="4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4"/>
        <v>0</v>
      </c>
      <c r="J264" s="330" t="str">
        <f t="shared" si="4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4"/>
        <v>0</v>
      </c>
      <c r="J265" s="330" t="str">
        <f t="shared" si="4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4"/>
        <v>0</v>
      </c>
      <c r="J266" s="330" t="str">
        <f t="shared" si="4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4"/>
        <v>0</v>
      </c>
      <c r="J267" s="330" t="str">
        <f t="shared" si="4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4"/>
        <v>0</v>
      </c>
      <c r="J268" s="330" t="str">
        <f t="shared" si="4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4"/>
        <v>0</v>
      </c>
      <c r="J269" s="330" t="str">
        <f t="shared" si="4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4"/>
        <v>0</v>
      </c>
      <c r="J270" s="330" t="str">
        <f t="shared" si="4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4"/>
        <v>0</v>
      </c>
      <c r="J271" s="330" t="str">
        <f t="shared" si="4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4"/>
        <v>0</v>
      </c>
      <c r="J272" s="330" t="str">
        <f t="shared" si="4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6">SUM(C274:C283)</f>
        <v>0</v>
      </c>
      <c r="D273" s="444">
        <f t="shared" si="46"/>
        <v>0</v>
      </c>
      <c r="E273" s="441">
        <f t="shared" si="46"/>
        <v>0</v>
      </c>
      <c r="F273" s="443">
        <f t="shared" si="46"/>
        <v>0</v>
      </c>
      <c r="G273" s="441">
        <f t="shared" si="46"/>
        <v>0</v>
      </c>
      <c r="H273" s="443">
        <f t="shared" si="46"/>
        <v>0</v>
      </c>
      <c r="I273" s="44">
        <f t="shared" si="44"/>
        <v>0</v>
      </c>
      <c r="J273" s="330" t="str">
        <f t="shared" si="45"/>
        <v/>
      </c>
      <c r="K273" s="442">
        <f t="shared" si="4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4"/>
        <v>0</v>
      </c>
      <c r="J274" s="330" t="str">
        <f t="shared" si="4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4"/>
        <v>0</v>
      </c>
      <c r="J275" s="330" t="str">
        <f t="shared" si="4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4"/>
        <v>0</v>
      </c>
      <c r="J276" s="330" t="str">
        <f t="shared" si="4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4"/>
        <v>0</v>
      </c>
      <c r="J277" s="330" t="str">
        <f t="shared" si="4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4"/>
        <v>0</v>
      </c>
      <c r="J278" s="330" t="str">
        <f t="shared" si="4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4"/>
        <v>0</v>
      </c>
      <c r="J279" s="330" t="str">
        <f t="shared" si="4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4"/>
        <v>0</v>
      </c>
      <c r="J280" s="330" t="str">
        <f t="shared" si="4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4"/>
        <v>0</v>
      </c>
      <c r="J281" s="330" t="str">
        <f t="shared" si="4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4"/>
        <v>0</v>
      </c>
      <c r="J282" s="330" t="str">
        <f t="shared" si="4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4"/>
        <v>0</v>
      </c>
      <c r="J283" s="330" t="str">
        <f t="shared" si="4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7">SUM(C285:C294)</f>
        <v>0</v>
      </c>
      <c r="D284" s="444">
        <f t="shared" si="47"/>
        <v>0</v>
      </c>
      <c r="E284" s="441">
        <f t="shared" si="47"/>
        <v>0</v>
      </c>
      <c r="F284" s="443">
        <f t="shared" si="47"/>
        <v>0</v>
      </c>
      <c r="G284" s="441">
        <f t="shared" si="47"/>
        <v>0</v>
      </c>
      <c r="H284" s="443">
        <f t="shared" si="47"/>
        <v>0</v>
      </c>
      <c r="I284" s="44">
        <f t="shared" si="44"/>
        <v>0</v>
      </c>
      <c r="J284" s="330" t="str">
        <f t="shared" si="45"/>
        <v/>
      </c>
      <c r="K284" s="442">
        <f t="shared" si="4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4"/>
        <v>0</v>
      </c>
      <c r="J285" s="330" t="str">
        <f t="shared" si="4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4"/>
        <v>0</v>
      </c>
      <c r="J286" s="330" t="str">
        <f t="shared" si="4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4"/>
        <v>0</v>
      </c>
      <c r="J287" s="330" t="str">
        <f t="shared" si="4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4"/>
        <v>0</v>
      </c>
      <c r="J288" s="330" t="str">
        <f t="shared" si="4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4"/>
        <v>0</v>
      </c>
      <c r="J289" s="330" t="str">
        <f t="shared" si="4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4"/>
        <v>0</v>
      </c>
      <c r="J290" s="330" t="str">
        <f t="shared" si="4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4"/>
        <v>0</v>
      </c>
      <c r="J291" s="330" t="str">
        <f t="shared" si="4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4"/>
        <v>0</v>
      </c>
      <c r="J292" s="330" t="str">
        <f t="shared" si="4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4"/>
        <v>0</v>
      </c>
      <c r="J293" s="330" t="str">
        <f t="shared" si="4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4"/>
        <v>0</v>
      </c>
      <c r="J294" s="330" t="str">
        <f t="shared" si="4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8">SUM(C296:C305)</f>
        <v>0</v>
      </c>
      <c r="D295" s="444">
        <f t="shared" si="48"/>
        <v>0</v>
      </c>
      <c r="E295" s="441">
        <f t="shared" si="48"/>
        <v>0</v>
      </c>
      <c r="F295" s="443">
        <f t="shared" si="48"/>
        <v>0</v>
      </c>
      <c r="G295" s="441">
        <f t="shared" si="48"/>
        <v>0</v>
      </c>
      <c r="H295" s="443">
        <f t="shared" si="48"/>
        <v>0</v>
      </c>
      <c r="I295" s="44">
        <f t="shared" si="44"/>
        <v>0</v>
      </c>
      <c r="J295" s="330" t="str">
        <f t="shared" si="45"/>
        <v/>
      </c>
      <c r="K295" s="442">
        <f t="shared" si="4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4"/>
        <v>0</v>
      </c>
      <c r="J296" s="330" t="str">
        <f t="shared" si="4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4"/>
        <v>0</v>
      </c>
      <c r="J297" s="330" t="str">
        <f t="shared" si="4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4"/>
        <v>0</v>
      </c>
      <c r="J298" s="330" t="str">
        <f t="shared" si="4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4"/>
        <v>0</v>
      </c>
      <c r="J299" s="330" t="str">
        <f t="shared" si="4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4"/>
        <v>0</v>
      </c>
      <c r="J300" s="330" t="str">
        <f t="shared" si="4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4"/>
        <v>0</v>
      </c>
      <c r="J301" s="330" t="str">
        <f t="shared" si="4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4"/>
        <v>0</v>
      </c>
      <c r="J302" s="330" t="str">
        <f t="shared" si="4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4"/>
        <v>0</v>
      </c>
      <c r="J303" s="330" t="str">
        <f t="shared" si="4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4"/>
        <v>0</v>
      </c>
      <c r="J304" s="330" t="str">
        <f t="shared" si="4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4"/>
        <v>0</v>
      </c>
      <c r="J305" s="330" t="str">
        <f t="shared" si="4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9">SUM(C307:C316)</f>
        <v>0</v>
      </c>
      <c r="D306" s="444">
        <f t="shared" si="49"/>
        <v>0</v>
      </c>
      <c r="E306" s="441">
        <f t="shared" si="49"/>
        <v>0</v>
      </c>
      <c r="F306" s="443">
        <f t="shared" si="49"/>
        <v>0</v>
      </c>
      <c r="G306" s="441">
        <f t="shared" si="49"/>
        <v>0</v>
      </c>
      <c r="H306" s="443">
        <f t="shared" si="49"/>
        <v>0</v>
      </c>
      <c r="I306" s="44">
        <f t="shared" si="44"/>
        <v>0</v>
      </c>
      <c r="J306" s="330" t="str">
        <f t="shared" si="45"/>
        <v/>
      </c>
      <c r="K306" s="442">
        <f t="shared" si="4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4"/>
        <v>0</v>
      </c>
      <c r="J307" s="330" t="str">
        <f t="shared" si="4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4"/>
        <v>0</v>
      </c>
      <c r="J308" s="330" t="str">
        <f t="shared" si="4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4"/>
        <v>0</v>
      </c>
      <c r="J309" s="330" t="str">
        <f t="shared" si="4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4"/>
        <v>0</v>
      </c>
      <c r="J310" s="330" t="str">
        <f t="shared" si="4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4"/>
        <v>0</v>
      </c>
      <c r="J311" s="330" t="str">
        <f t="shared" si="4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4"/>
        <v>0</v>
      </c>
      <c r="J312" s="330" t="str">
        <f t="shared" si="4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4"/>
        <v>0</v>
      </c>
      <c r="J313" s="330" t="str">
        <f t="shared" si="4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4"/>
        <v>0</v>
      </c>
      <c r="J314" s="330" t="str">
        <f t="shared" si="4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4"/>
        <v>0</v>
      </c>
      <c r="J315" s="330" t="str">
        <f t="shared" si="4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4"/>
        <v>0</v>
      </c>
      <c r="J316" s="330" t="str">
        <f t="shared" si="4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0">SUM(C318:C327)</f>
        <v>0</v>
      </c>
      <c r="D317" s="444">
        <f t="shared" si="50"/>
        <v>0</v>
      </c>
      <c r="E317" s="441">
        <f t="shared" si="50"/>
        <v>0</v>
      </c>
      <c r="F317" s="443">
        <f t="shared" si="50"/>
        <v>0</v>
      </c>
      <c r="G317" s="441">
        <f t="shared" si="50"/>
        <v>0</v>
      </c>
      <c r="H317" s="443">
        <f t="shared" si="50"/>
        <v>0</v>
      </c>
      <c r="I317" s="44">
        <f t="shared" si="44"/>
        <v>0</v>
      </c>
      <c r="J317" s="330" t="str">
        <f t="shared" si="45"/>
        <v/>
      </c>
      <c r="K317" s="442">
        <f t="shared" si="5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4"/>
        <v>0</v>
      </c>
      <c r="J318" s="330" t="str">
        <f t="shared" si="4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4"/>
        <v>0</v>
      </c>
      <c r="J319" s="330" t="str">
        <f t="shared" si="4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4"/>
        <v>0</v>
      </c>
      <c r="J320" s="330" t="str">
        <f t="shared" si="4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4"/>
        <v>0</v>
      </c>
      <c r="J321" s="330" t="str">
        <f t="shared" si="4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4"/>
        <v>0</v>
      </c>
      <c r="J322" s="330" t="str">
        <f t="shared" si="4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4"/>
        <v>0</v>
      </c>
      <c r="J323" s="330" t="str">
        <f t="shared" si="4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4"/>
        <v>0</v>
      </c>
      <c r="J324" s="330" t="str">
        <f t="shared" si="4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4"/>
        <v>0</v>
      </c>
      <c r="J325" s="330" t="str">
        <f t="shared" si="4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1">G326-H326</f>
        <v>0</v>
      </c>
      <c r="J326" s="330" t="str">
        <f t="shared" ref="J326:J341" si="5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1"/>
        <v>0</v>
      </c>
      <c r="J327" s="330" t="str">
        <f t="shared" si="5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3">SUM(C329:C338)</f>
        <v>0</v>
      </c>
      <c r="D328" s="444">
        <f t="shared" si="53"/>
        <v>0</v>
      </c>
      <c r="E328" s="441">
        <f t="shared" si="53"/>
        <v>0</v>
      </c>
      <c r="F328" s="443">
        <f t="shared" si="53"/>
        <v>0</v>
      </c>
      <c r="G328" s="441">
        <f t="shared" si="53"/>
        <v>0</v>
      </c>
      <c r="H328" s="443">
        <f t="shared" si="53"/>
        <v>0</v>
      </c>
      <c r="I328" s="44">
        <f t="shared" si="51"/>
        <v>0</v>
      </c>
      <c r="J328" s="330" t="str">
        <f t="shared" si="52"/>
        <v/>
      </c>
      <c r="K328" s="442">
        <f t="shared" si="5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1"/>
        <v>0</v>
      </c>
      <c r="J329" s="330" t="str">
        <f t="shared" si="5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1"/>
        <v>0</v>
      </c>
      <c r="J330" s="330" t="str">
        <f t="shared" si="5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1"/>
        <v>0</v>
      </c>
      <c r="J331" s="330" t="str">
        <f t="shared" si="5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1"/>
        <v>0</v>
      </c>
      <c r="J332" s="330" t="str">
        <f t="shared" si="5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1"/>
        <v>0</v>
      </c>
      <c r="J333" s="330" t="str">
        <f t="shared" si="5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1"/>
        <v>0</v>
      </c>
      <c r="J334" s="330" t="str">
        <f t="shared" si="5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1"/>
        <v>0</v>
      </c>
      <c r="J335" s="330" t="str">
        <f t="shared" si="5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1"/>
        <v>0</v>
      </c>
      <c r="J336" s="330" t="str">
        <f t="shared" si="5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1"/>
        <v>0</v>
      </c>
      <c r="J337" s="330" t="str">
        <f t="shared" si="5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1"/>
        <v>0</v>
      </c>
      <c r="J338" s="330" t="str">
        <f t="shared" si="52"/>
        <v/>
      </c>
      <c r="K338" s="395"/>
      <c r="L338" s="452">
        <f t="shared" ref="L338:W338" si="54">SUM(L173:L249)</f>
        <v>0</v>
      </c>
      <c r="M338" s="453">
        <f t="shared" si="54"/>
        <v>0</v>
      </c>
      <c r="N338" s="453">
        <f t="shared" si="54"/>
        <v>0</v>
      </c>
      <c r="O338" s="453">
        <f t="shared" si="54"/>
        <v>0</v>
      </c>
      <c r="P338" s="453">
        <f t="shared" si="54"/>
        <v>0</v>
      </c>
      <c r="Q338" s="453">
        <f t="shared" si="54"/>
        <v>0</v>
      </c>
      <c r="R338" s="453">
        <f t="shared" si="54"/>
        <v>0</v>
      </c>
      <c r="S338" s="453">
        <f t="shared" si="54"/>
        <v>0</v>
      </c>
      <c r="T338" s="453">
        <f t="shared" si="54"/>
        <v>0</v>
      </c>
      <c r="U338" s="453">
        <f t="shared" si="54"/>
        <v>0</v>
      </c>
      <c r="V338" s="453">
        <f t="shared" si="54"/>
        <v>0</v>
      </c>
      <c r="W338" s="453">
        <f t="shared" si="54"/>
        <v>0</v>
      </c>
    </row>
    <row r="339" spans="1:24" ht="12.75" customHeight="1" x14ac:dyDescent="0.25">
      <c r="A339" s="447" t="s">
        <v>634</v>
      </c>
      <c r="B339" s="445">
        <v>2</v>
      </c>
      <c r="C339" s="508">
        <f t="shared" ref="C339:H339" si="55">C174+C185+C196+C207+C218+C229+C240+C251+C262++C273+C284+C295+C306+C317+C328</f>
        <v>0</v>
      </c>
      <c r="D339" s="475">
        <f t="shared" si="55"/>
        <v>5516477469.544631</v>
      </c>
      <c r="E339" s="430">
        <f t="shared" si="55"/>
        <v>0</v>
      </c>
      <c r="F339" s="474">
        <f t="shared" si="55"/>
        <v>581114977.30000019</v>
      </c>
      <c r="G339" s="430">
        <f t="shared" si="55"/>
        <v>736047932.21999979</v>
      </c>
      <c r="H339" s="474">
        <f t="shared" si="55"/>
        <v>919412911.59077215</v>
      </c>
      <c r="I339" s="430">
        <f t="shared" si="51"/>
        <v>-183364979.37077236</v>
      </c>
      <c r="J339" s="430">
        <f t="shared" si="52"/>
        <v>-0.19943702884649889</v>
      </c>
      <c r="K339" s="513">
        <f>K174+K185+K196+K207+K218+K229+K240+K251+K262++K273+K284+K295+K306+K317+K328</f>
        <v>5516477469.544631</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1"/>
        <v>0</v>
      </c>
      <c r="J340" s="50" t="str">
        <f t="shared" si="52"/>
        <v/>
      </c>
      <c r="K340" s="194"/>
      <c r="L340" s="480">
        <f t="shared" ref="L340:W340" si="56">L170-L338</f>
        <v>0</v>
      </c>
      <c r="M340" s="481">
        <f t="shared" si="56"/>
        <v>0</v>
      </c>
      <c r="N340" s="481">
        <f t="shared" si="56"/>
        <v>0</v>
      </c>
      <c r="O340" s="481">
        <f t="shared" si="56"/>
        <v>0</v>
      </c>
      <c r="P340" s="481">
        <f t="shared" si="56"/>
        <v>0</v>
      </c>
      <c r="Q340" s="481">
        <f t="shared" si="56"/>
        <v>0</v>
      </c>
      <c r="R340" s="481">
        <f t="shared" si="56"/>
        <v>0</v>
      </c>
      <c r="S340" s="481">
        <f t="shared" si="56"/>
        <v>0</v>
      </c>
      <c r="T340" s="481">
        <f t="shared" si="56"/>
        <v>0</v>
      </c>
      <c r="U340" s="481">
        <f t="shared" si="56"/>
        <v>0</v>
      </c>
      <c r="V340" s="481">
        <f t="shared" si="56"/>
        <v>0</v>
      </c>
      <c r="W340" s="481">
        <f t="shared" si="56"/>
        <v>0</v>
      </c>
    </row>
    <row r="341" spans="1:24" s="486" customFormat="1" ht="11.25" customHeight="1" thickTop="1" x14ac:dyDescent="0.25">
      <c r="A341" s="886" t="str">
        <f>result</f>
        <v>Surplus/ (Deficit) for the year</v>
      </c>
      <c r="B341" s="477">
        <v>2</v>
      </c>
      <c r="C341" s="509">
        <f t="shared" ref="C341:H341" si="57">C171-C339</f>
        <v>0</v>
      </c>
      <c r="D341" s="512">
        <f t="shared" si="57"/>
        <v>927224369.32743359</v>
      </c>
      <c r="E341" s="55">
        <f t="shared" si="57"/>
        <v>0</v>
      </c>
      <c r="F341" s="479">
        <f t="shared" si="57"/>
        <v>129949569.10999954</v>
      </c>
      <c r="G341" s="55">
        <f t="shared" si="57"/>
        <v>394169569.29999971</v>
      </c>
      <c r="H341" s="479">
        <f t="shared" si="57"/>
        <v>154537394.88790512</v>
      </c>
      <c r="I341" s="55">
        <f t="shared" si="51"/>
        <v>239632174.41209459</v>
      </c>
      <c r="J341" s="55">
        <f t="shared" si="52"/>
        <v>1.5506419956536321</v>
      </c>
      <c r="K341" s="235">
        <f>K171-K339</f>
        <v>927224369.32743359</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18" activePane="bottomRight" state="frozen"/>
      <selection pane="topRight"/>
      <selection pane="bottomLeft"/>
      <selection pane="bottomRight" activeCell="H25" sqref="H25:H26"/>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"&amp;S71B&amp; " - "&amp;date</f>
        <v>KZN225 Msunduzi - Table C4 Consolidated Monthly Budget Statement - Financial Performance (revenue and expenditure)  - M02 August</v>
      </c>
      <c r="B1" s="1053"/>
      <c r="C1" s="1053"/>
      <c r="D1" s="1053"/>
      <c r="E1" s="1053"/>
      <c r="F1" s="1053"/>
      <c r="G1" s="1053"/>
      <c r="H1" s="1053"/>
      <c r="I1" s="1053"/>
      <c r="J1" s="1053"/>
      <c r="K1" s="1053"/>
    </row>
    <row r="2" spans="1:11" x14ac:dyDescent="0.25">
      <c r="A2" s="1042" t="str">
        <f>desc</f>
        <v>Description</v>
      </c>
      <c r="B2" s="1051" t="str">
        <f>head27</f>
        <v>Ref</v>
      </c>
      <c r="C2" s="158" t="str">
        <f>Head1</f>
        <v>2019/20</v>
      </c>
      <c r="D2" s="1037" t="str">
        <f>Head2</f>
        <v>Budget Year 2020/21</v>
      </c>
      <c r="E2" s="1038"/>
      <c r="F2" s="1038"/>
      <c r="G2" s="1038"/>
      <c r="H2" s="1038"/>
      <c r="I2" s="1038"/>
      <c r="J2" s="1038"/>
      <c r="K2" s="1039"/>
    </row>
    <row r="3" spans="1:11" ht="25.5" x14ac:dyDescent="0.25">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c r="F6" s="733">
        <v>101909950.48999998</v>
      </c>
      <c r="G6" s="733">
        <v>204038346.90999997</v>
      </c>
      <c r="H6" s="733">
        <f>D6/12*2</f>
        <v>211632432.33696663</v>
      </c>
      <c r="I6" s="44">
        <f t="shared" ref="I6:I22" si="0">G6-H6</f>
        <v>-7594085.4269666672</v>
      </c>
      <c r="J6" s="330">
        <f t="shared" ref="J6:J22" si="1">IF(I6=0,"",I6/H6)</f>
        <v>-3.5883372615002448E-2</v>
      </c>
      <c r="K6" s="735">
        <f>D6</f>
        <v>1269794594.0217998</v>
      </c>
    </row>
    <row r="7" spans="1:11" ht="11.25" customHeight="1" x14ac:dyDescent="0.25">
      <c r="A7" s="39" t="s">
        <v>834</v>
      </c>
      <c r="B7" s="419"/>
      <c r="C7" s="748"/>
      <c r="D7" s="745">
        <v>2584775677.1378117</v>
      </c>
      <c r="E7" s="733"/>
      <c r="F7" s="733">
        <v>211055589.65000001</v>
      </c>
      <c r="G7" s="733">
        <v>426736739.92000002</v>
      </c>
      <c r="H7" s="733">
        <f>D7/12*2</f>
        <v>430795946.18963528</v>
      </c>
      <c r="I7" s="44">
        <f t="shared" si="0"/>
        <v>-4059206.2696352601</v>
      </c>
      <c r="J7" s="330">
        <f t="shared" si="1"/>
        <v>-9.4225730430815332E-3</v>
      </c>
      <c r="K7" s="735">
        <f>D7</f>
        <v>2584775677.1378117</v>
      </c>
    </row>
    <row r="8" spans="1:11" ht="11.25" customHeight="1" x14ac:dyDescent="0.25">
      <c r="A8" s="86" t="s">
        <v>835</v>
      </c>
      <c r="B8" s="421"/>
      <c r="C8" s="748"/>
      <c r="D8" s="745">
        <v>722633094.82360029</v>
      </c>
      <c r="E8" s="733"/>
      <c r="F8" s="733">
        <v>63649147.949999996</v>
      </c>
      <c r="G8" s="733">
        <v>126329856.89999999</v>
      </c>
      <c r="H8" s="733">
        <f>D8/12*2</f>
        <v>120438849.13726671</v>
      </c>
      <c r="I8" s="44">
        <f t="shared" si="0"/>
        <v>5891007.7627332807</v>
      </c>
      <c r="J8" s="330">
        <f t="shared" si="1"/>
        <v>4.8912853327078662E-2</v>
      </c>
      <c r="K8" s="735">
        <f>D8</f>
        <v>722633094.82360029</v>
      </c>
    </row>
    <row r="9" spans="1:11" ht="11.25" customHeight="1" x14ac:dyDescent="0.25">
      <c r="A9" s="86" t="s">
        <v>836</v>
      </c>
      <c r="B9" s="421"/>
      <c r="C9" s="748"/>
      <c r="D9" s="745">
        <v>152021749.3608</v>
      </c>
      <c r="E9" s="733"/>
      <c r="F9" s="733">
        <v>14470362.050000001</v>
      </c>
      <c r="G9" s="733">
        <v>24347516.040000003</v>
      </c>
      <c r="H9" s="733">
        <f>D9/12*2</f>
        <v>25336958.226799998</v>
      </c>
      <c r="I9" s="44">
        <f t="shared" si="0"/>
        <v>-989442.1867999956</v>
      </c>
      <c r="J9" s="330">
        <f t="shared" si="1"/>
        <v>-3.9051340651989543E-2</v>
      </c>
      <c r="K9" s="735">
        <f>D9</f>
        <v>152021749.3608</v>
      </c>
    </row>
    <row r="10" spans="1:11" ht="11.25" customHeight="1" x14ac:dyDescent="0.25">
      <c r="A10" s="517" t="s">
        <v>72</v>
      </c>
      <c r="B10" s="421"/>
      <c r="C10" s="748"/>
      <c r="D10" s="745">
        <v>116333080.9707</v>
      </c>
      <c r="E10" s="733"/>
      <c r="F10" s="733">
        <v>8816844.8100000005</v>
      </c>
      <c r="G10" s="733">
        <v>17811648.800000001</v>
      </c>
      <c r="H10" s="733">
        <f>D10/12*2</f>
        <v>19388846.828449998</v>
      </c>
      <c r="I10" s="44">
        <f t="shared" si="0"/>
        <v>-1577198.0284499973</v>
      </c>
      <c r="J10" s="330">
        <f t="shared" si="1"/>
        <v>-8.1345633518323232E-2</v>
      </c>
      <c r="K10" s="735">
        <f>D10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c r="F12" s="733">
        <v>-7927407.4500000002</v>
      </c>
      <c r="G12" s="733">
        <v>-3497716.16</v>
      </c>
      <c r="H12" s="733">
        <f>D12/12*2</f>
        <v>4846466.2711666655</v>
      </c>
      <c r="I12" s="44">
        <f t="shared" si="0"/>
        <v>-8344182.4311666656</v>
      </c>
      <c r="J12" s="330">
        <f t="shared" si="1"/>
        <v>-1.7217044263382468</v>
      </c>
      <c r="K12" s="735">
        <f t="shared" ref="K12:K20" si="2">D12</f>
        <v>29078797.626999993</v>
      </c>
    </row>
    <row r="13" spans="1:11" ht="11.25" customHeight="1" x14ac:dyDescent="0.25">
      <c r="A13" s="86" t="s">
        <v>838</v>
      </c>
      <c r="B13" s="421"/>
      <c r="C13" s="748"/>
      <c r="D13" s="745">
        <v>15260422.42725</v>
      </c>
      <c r="E13" s="733"/>
      <c r="F13" s="733">
        <v>733807.67999999982</v>
      </c>
      <c r="G13" s="733">
        <v>880625.44</v>
      </c>
      <c r="H13" s="733">
        <f>D13/12*2</f>
        <v>2543403.7378750001</v>
      </c>
      <c r="I13" s="44">
        <f t="shared" si="0"/>
        <v>-1662778.2978750002</v>
      </c>
      <c r="J13" s="330">
        <f t="shared" si="1"/>
        <v>-0.65376104985370598</v>
      </c>
      <c r="K13" s="735">
        <f t="shared" si="2"/>
        <v>15260422.42725</v>
      </c>
    </row>
    <row r="14" spans="1:11" ht="11.25" customHeight="1" x14ac:dyDescent="0.25">
      <c r="A14" s="86" t="s">
        <v>839</v>
      </c>
      <c r="B14" s="421"/>
      <c r="C14" s="748"/>
      <c r="D14" s="745">
        <v>202457793.88559997</v>
      </c>
      <c r="E14" s="733"/>
      <c r="F14" s="733">
        <v>15467748.879999999</v>
      </c>
      <c r="G14" s="733">
        <v>30144824.340000004</v>
      </c>
      <c r="H14" s="733">
        <f>D14/12*2</f>
        <v>33742965.647599995</v>
      </c>
      <c r="I14" s="44">
        <f t="shared" si="0"/>
        <v>-3598141.3075999916</v>
      </c>
      <c r="J14" s="330">
        <f t="shared" si="1"/>
        <v>-0.10663381948041409</v>
      </c>
      <c r="K14" s="735">
        <f t="shared" si="2"/>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c r="F16" s="733">
        <v>25568.73</v>
      </c>
      <c r="G16" s="733">
        <v>-237713.06999999998</v>
      </c>
      <c r="H16" s="733">
        <f>D16/12*2</f>
        <v>299758.57394999999</v>
      </c>
      <c r="I16" s="44">
        <f t="shared" si="0"/>
        <v>-537471.64394999994</v>
      </c>
      <c r="J16" s="330">
        <f t="shared" si="1"/>
        <v>-1.7930150816625205</v>
      </c>
      <c r="K16" s="735">
        <f t="shared" si="2"/>
        <v>1798551.4436999999</v>
      </c>
    </row>
    <row r="17" spans="1:11" ht="11.25" customHeight="1" x14ac:dyDescent="0.25">
      <c r="A17" s="86" t="s">
        <v>840</v>
      </c>
      <c r="B17" s="421"/>
      <c r="C17" s="748"/>
      <c r="D17" s="745">
        <v>1119569.0055</v>
      </c>
      <c r="E17" s="733"/>
      <c r="F17" s="733">
        <v>116697.93000000001</v>
      </c>
      <c r="G17" s="733">
        <v>120833.07</v>
      </c>
      <c r="H17" s="733">
        <f>D17/12*2</f>
        <v>186594.83424999999</v>
      </c>
      <c r="I17" s="44">
        <f t="shared" si="0"/>
        <v>-65761.764249999978</v>
      </c>
      <c r="J17" s="330">
        <f t="shared" si="1"/>
        <v>-0.35243078681316703</v>
      </c>
      <c r="K17" s="735">
        <f t="shared" si="2"/>
        <v>1119569.0055</v>
      </c>
    </row>
    <row r="18" spans="1:11" ht="11.25" customHeight="1" x14ac:dyDescent="0.25">
      <c r="A18" s="86" t="s">
        <v>580</v>
      </c>
      <c r="B18" s="421"/>
      <c r="C18" s="748"/>
      <c r="D18" s="745">
        <v>601902.02599999995</v>
      </c>
      <c r="E18" s="733"/>
      <c r="F18" s="733"/>
      <c r="G18" s="733"/>
      <c r="H18" s="733">
        <f>D18/12*2</f>
        <v>100317.00433333333</v>
      </c>
      <c r="I18" s="44">
        <f t="shared" si="0"/>
        <v>-100317.00433333333</v>
      </c>
      <c r="J18" s="330">
        <f t="shared" si="1"/>
        <v>-1</v>
      </c>
      <c r="K18" s="735">
        <f t="shared" si="2"/>
        <v>601902.02599999995</v>
      </c>
    </row>
    <row r="19" spans="1:11" ht="11.25" customHeight="1" x14ac:dyDescent="0.25">
      <c r="A19" s="518" t="s">
        <v>1118</v>
      </c>
      <c r="B19" s="421"/>
      <c r="C19" s="748"/>
      <c r="D19" s="745">
        <v>675483240</v>
      </c>
      <c r="E19" s="733"/>
      <c r="F19" s="733">
        <v>274034420.00999999</v>
      </c>
      <c r="G19" s="733">
        <v>274341991.08999997</v>
      </c>
      <c r="H19" s="733">
        <f>D19/12*2</f>
        <v>112580540</v>
      </c>
      <c r="I19" s="44">
        <f t="shared" si="0"/>
        <v>161761451.08999997</v>
      </c>
      <c r="J19" s="330">
        <f t="shared" si="1"/>
        <v>1.4368509077146012</v>
      </c>
      <c r="K19" s="735">
        <f t="shared" si="2"/>
        <v>675483240</v>
      </c>
    </row>
    <row r="20" spans="1:11" ht="11.25" customHeight="1" x14ac:dyDescent="0.25">
      <c r="A20" s="86" t="s">
        <v>453</v>
      </c>
      <c r="B20" s="421"/>
      <c r="C20" s="748"/>
      <c r="D20" s="745">
        <v>146451785.14229998</v>
      </c>
      <c r="E20" s="733"/>
      <c r="F20" s="733">
        <v>1554055.6300000001</v>
      </c>
      <c r="G20" s="733">
        <v>1052379.4299999997</v>
      </c>
      <c r="H20" s="733">
        <f>D20/12*2</f>
        <v>24408630.857049998</v>
      </c>
      <c r="I20" s="44">
        <f t="shared" si="0"/>
        <v>-23356251.427049998</v>
      </c>
      <c r="J20" s="330">
        <f t="shared" si="1"/>
        <v>-0.95688494630594823</v>
      </c>
      <c r="K20" s="735">
        <f t="shared" si="2"/>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3">SUM(C6:C10)+SUM(C12:C21)</f>
        <v>0</v>
      </c>
      <c r="D22" s="523">
        <f t="shared" si="3"/>
        <v>5917810257.8720617</v>
      </c>
      <c r="E22" s="524">
        <f t="shared" si="3"/>
        <v>0</v>
      </c>
      <c r="F22" s="524">
        <f t="shared" si="3"/>
        <v>683906786.3599999</v>
      </c>
      <c r="G22" s="524">
        <f t="shared" si="3"/>
        <v>1102069332.7099998</v>
      </c>
      <c r="H22" s="524">
        <f t="shared" si="3"/>
        <v>986301709.64534354</v>
      </c>
      <c r="I22" s="524">
        <f t="shared" si="0"/>
        <v>115767623.06465626</v>
      </c>
      <c r="J22" s="525">
        <f t="shared" si="1"/>
        <v>0.11737546628230446</v>
      </c>
      <c r="K22" s="526">
        <f>SUM(K6:K10)+SUM(K12:K21)</f>
        <v>5917810257.8720617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c r="F25" s="733">
        <v>110156198.9600001</v>
      </c>
      <c r="G25" s="733">
        <v>215080592.71000004</v>
      </c>
      <c r="H25" s="733">
        <f t="shared" ref="H25:H35" si="4">D25/12*2</f>
        <v>246387383.59569666</v>
      </c>
      <c r="I25" s="44">
        <f t="shared" ref="I25:I36" si="5">G25-H25</f>
        <v>-31306790.88569662</v>
      </c>
      <c r="J25" s="330">
        <f t="shared" ref="J25:J41" si="6">IF(I25=0,"",I25/H25)</f>
        <v>-0.12706328720576346</v>
      </c>
      <c r="K25" s="735">
        <f t="shared" ref="K25:K34" si="7">D25</f>
        <v>1478324301.5741799</v>
      </c>
    </row>
    <row r="26" spans="1:11" ht="12.75" customHeight="1" x14ac:dyDescent="0.25">
      <c r="A26" s="39" t="s">
        <v>477</v>
      </c>
      <c r="B26" s="419"/>
      <c r="C26" s="748"/>
      <c r="D26" s="745">
        <v>53650401.115479976</v>
      </c>
      <c r="E26" s="733"/>
      <c r="F26" s="733">
        <v>3682711.07</v>
      </c>
      <c r="G26" s="733">
        <v>7367340.1899999995</v>
      </c>
      <c r="H26" s="733">
        <f t="shared" si="4"/>
        <v>8941733.519246662</v>
      </c>
      <c r="I26" s="44">
        <f t="shared" si="5"/>
        <v>-1574393.3292466626</v>
      </c>
      <c r="J26" s="330">
        <f t="shared" si="6"/>
        <v>-0.17607249487561386</v>
      </c>
      <c r="K26" s="735">
        <f t="shared" si="7"/>
        <v>53650401.115479976</v>
      </c>
    </row>
    <row r="27" spans="1:11" ht="12.75" customHeight="1" x14ac:dyDescent="0.25">
      <c r="A27" s="86" t="s">
        <v>611</v>
      </c>
      <c r="B27" s="421"/>
      <c r="C27" s="748"/>
      <c r="D27" s="745">
        <v>123904143.27200001</v>
      </c>
      <c r="E27" s="733"/>
      <c r="F27" s="733">
        <v>1052285.98</v>
      </c>
      <c r="G27" s="733">
        <v>1620158.63</v>
      </c>
      <c r="H27" s="733">
        <f t="shared" si="4"/>
        <v>20650690.545333337</v>
      </c>
      <c r="I27" s="44">
        <f t="shared" si="5"/>
        <v>-19030531.915333338</v>
      </c>
      <c r="J27" s="330">
        <f t="shared" si="6"/>
        <v>-0.92154457854843386</v>
      </c>
      <c r="K27" s="735">
        <f t="shared" si="7"/>
        <v>123904143.27200001</v>
      </c>
    </row>
    <row r="28" spans="1:11" ht="12.75" customHeight="1" x14ac:dyDescent="0.25">
      <c r="A28" s="86" t="s">
        <v>664</v>
      </c>
      <c r="B28" s="421"/>
      <c r="C28" s="748"/>
      <c r="D28" s="745">
        <v>489941448.27473986</v>
      </c>
      <c r="E28" s="733"/>
      <c r="F28" s="733">
        <v>36095228.270000033</v>
      </c>
      <c r="G28" s="733">
        <v>72184874.329999998</v>
      </c>
      <c r="H28" s="733">
        <f t="shared" si="4"/>
        <v>81656908.045789972</v>
      </c>
      <c r="I28" s="44">
        <f t="shared" si="5"/>
        <v>-9472033.7157899737</v>
      </c>
      <c r="J28" s="330">
        <f t="shared" si="6"/>
        <v>-0.11599794729526657</v>
      </c>
      <c r="K28" s="735">
        <f t="shared" si="7"/>
        <v>489941448.27473986</v>
      </c>
    </row>
    <row r="29" spans="1:11" ht="12.75" customHeight="1" x14ac:dyDescent="0.25">
      <c r="A29" s="86" t="s">
        <v>452</v>
      </c>
      <c r="B29" s="421"/>
      <c r="C29" s="748"/>
      <c r="D29" s="745">
        <v>31793212.220000003</v>
      </c>
      <c r="E29" s="733"/>
      <c r="F29" s="733">
        <v>4048460.95</v>
      </c>
      <c r="G29" s="733">
        <v>7289617.3300000001</v>
      </c>
      <c r="H29" s="733">
        <f t="shared" si="4"/>
        <v>5298868.7033333341</v>
      </c>
      <c r="I29" s="44">
        <f t="shared" si="5"/>
        <v>1990748.626666666</v>
      </c>
      <c r="J29" s="330">
        <f t="shared" si="6"/>
        <v>0.37569314095560724</v>
      </c>
      <c r="K29" s="735">
        <f t="shared" si="7"/>
        <v>31793212.220000003</v>
      </c>
    </row>
    <row r="30" spans="1:11" ht="12.75" customHeight="1" x14ac:dyDescent="0.25">
      <c r="A30" s="86" t="s">
        <v>844</v>
      </c>
      <c r="B30" s="421"/>
      <c r="C30" s="748"/>
      <c r="D30" s="745">
        <v>2608224084.5041752</v>
      </c>
      <c r="E30" s="733"/>
      <c r="F30" s="733">
        <v>347364533.38</v>
      </c>
      <c r="G30" s="733">
        <v>347364533.38</v>
      </c>
      <c r="H30" s="733">
        <f t="shared" si="4"/>
        <v>434704014.0840292</v>
      </c>
      <c r="I30" s="44">
        <f t="shared" si="5"/>
        <v>-87339480.704029202</v>
      </c>
      <c r="J30" s="330">
        <f t="shared" si="6"/>
        <v>-0.20091712492709188</v>
      </c>
      <c r="K30" s="735">
        <f t="shared" si="7"/>
        <v>2608224084.5041752</v>
      </c>
    </row>
    <row r="31" spans="1:11" ht="12.75" customHeight="1" x14ac:dyDescent="0.25">
      <c r="A31" s="86" t="s">
        <v>920</v>
      </c>
      <c r="B31" s="421"/>
      <c r="C31" s="748"/>
      <c r="D31" s="745">
        <v>46613414.686963424</v>
      </c>
      <c r="E31" s="733"/>
      <c r="F31" s="733">
        <v>1381145.62</v>
      </c>
      <c r="G31" s="733">
        <v>1504208.64</v>
      </c>
      <c r="H31" s="733">
        <f t="shared" si="4"/>
        <v>7768902.4478272377</v>
      </c>
      <c r="I31" s="44">
        <f t="shared" si="5"/>
        <v>-6264693.807827238</v>
      </c>
      <c r="J31" s="330">
        <f t="shared" si="6"/>
        <v>-0.80638080474022578</v>
      </c>
      <c r="K31" s="735">
        <f t="shared" si="7"/>
        <v>46613414.686963424</v>
      </c>
    </row>
    <row r="32" spans="1:11" ht="12.75" customHeight="1" x14ac:dyDescent="0.25">
      <c r="A32" s="86" t="s">
        <v>845</v>
      </c>
      <c r="B32" s="421"/>
      <c r="C32" s="748"/>
      <c r="D32" s="745">
        <v>464722594.2633999</v>
      </c>
      <c r="E32" s="733"/>
      <c r="F32" s="733">
        <v>49208921.919999979</v>
      </c>
      <c r="G32" s="733">
        <v>47799044.030000024</v>
      </c>
      <c r="H32" s="733">
        <f t="shared" si="4"/>
        <v>77453765.710566655</v>
      </c>
      <c r="I32" s="44">
        <f t="shared" si="5"/>
        <v>-29654721.680566631</v>
      </c>
      <c r="J32" s="330">
        <f t="shared" si="6"/>
        <v>-0.3828699793807569</v>
      </c>
      <c r="K32" s="735">
        <f t="shared" si="7"/>
        <v>464722594.2633999</v>
      </c>
    </row>
    <row r="33" spans="1:12" ht="12.75" customHeight="1" x14ac:dyDescent="0.25">
      <c r="A33" s="517" t="s">
        <v>1118</v>
      </c>
      <c r="B33" s="421"/>
      <c r="C33" s="748"/>
      <c r="D33" s="745">
        <v>25080461.44304001</v>
      </c>
      <c r="E33" s="733"/>
      <c r="F33" s="733">
        <v>2579539.3899999997</v>
      </c>
      <c r="G33" s="733">
        <v>5179043.8899999987</v>
      </c>
      <c r="H33" s="733">
        <f t="shared" si="4"/>
        <v>4180076.9071733351</v>
      </c>
      <c r="I33" s="44">
        <f t="shared" si="5"/>
        <v>998966.98282666365</v>
      </c>
      <c r="J33" s="330">
        <f t="shared" si="6"/>
        <v>0.23898291945594569</v>
      </c>
      <c r="K33" s="735">
        <f t="shared" si="7"/>
        <v>25080461.44304001</v>
      </c>
    </row>
    <row r="34" spans="1:12" ht="12.75" customHeight="1" x14ac:dyDescent="0.25">
      <c r="A34" s="86" t="s">
        <v>434</v>
      </c>
      <c r="B34" s="421"/>
      <c r="C34" s="748"/>
      <c r="D34" s="745">
        <v>194223408.19064996</v>
      </c>
      <c r="E34" s="733"/>
      <c r="F34" s="733">
        <v>25545951.759999983</v>
      </c>
      <c r="G34" s="733">
        <v>30658519.089999963</v>
      </c>
      <c r="H34" s="733">
        <f t="shared" si="4"/>
        <v>32370568.031774994</v>
      </c>
      <c r="I34" s="44">
        <f t="shared" si="5"/>
        <v>-1712048.9417750314</v>
      </c>
      <c r="J34" s="330">
        <f t="shared" si="6"/>
        <v>-5.2889060831261339E-2</v>
      </c>
      <c r="K34" s="735">
        <f t="shared" si="7"/>
        <v>194223408.19064996</v>
      </c>
    </row>
    <row r="35" spans="1:12" ht="12.75" customHeight="1" x14ac:dyDescent="0.25">
      <c r="A35" s="990" t="s">
        <v>1370</v>
      </c>
      <c r="B35" s="419"/>
      <c r="C35" s="748"/>
      <c r="D35" s="745"/>
      <c r="E35" s="733"/>
      <c r="F35" s="733"/>
      <c r="G35" s="733"/>
      <c r="H35" s="733">
        <f t="shared" si="4"/>
        <v>0</v>
      </c>
      <c r="I35" s="44">
        <f t="shared" si="5"/>
        <v>0</v>
      </c>
      <c r="J35" s="330" t="str">
        <f t="shared" si="6"/>
        <v/>
      </c>
      <c r="K35" s="735"/>
    </row>
    <row r="36" spans="1:12" ht="12.75" customHeight="1" x14ac:dyDescent="0.25">
      <c r="A36" s="92" t="s">
        <v>488</v>
      </c>
      <c r="B36" s="422"/>
      <c r="C36" s="243">
        <f t="shared" ref="C36:K36" si="8">SUM(C25:C35)</f>
        <v>0</v>
      </c>
      <c r="D36" s="74">
        <f>SUM(D25:D35)</f>
        <v>5516477469.5446281</v>
      </c>
      <c r="E36" s="73">
        <f>SUM(E25:E35)</f>
        <v>0</v>
      </c>
      <c r="F36" s="73">
        <f t="shared" si="8"/>
        <v>581114977.30000007</v>
      </c>
      <c r="G36" s="73">
        <f t="shared" si="8"/>
        <v>736047932.21999979</v>
      </c>
      <c r="H36" s="73">
        <f t="shared" si="8"/>
        <v>919412911.59077132</v>
      </c>
      <c r="I36" s="73">
        <f t="shared" si="5"/>
        <v>-183364979.37077153</v>
      </c>
      <c r="J36" s="331">
        <f t="shared" si="6"/>
        <v>-0.19943702884649817</v>
      </c>
      <c r="K36" s="145">
        <f t="shared" si="8"/>
        <v>5516477469.5446281</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9">C22-C36</f>
        <v>0</v>
      </c>
      <c r="D38" s="51">
        <f t="shared" si="9"/>
        <v>401332788.32743359</v>
      </c>
      <c r="E38" s="50">
        <f t="shared" si="9"/>
        <v>0</v>
      </c>
      <c r="F38" s="50">
        <f t="shared" si="9"/>
        <v>102791809.05999982</v>
      </c>
      <c r="G38" s="50">
        <f t="shared" si="9"/>
        <v>366021400.49000001</v>
      </c>
      <c r="H38" s="50">
        <f t="shared" si="9"/>
        <v>66888798.054572225</v>
      </c>
      <c r="I38" s="102">
        <f>I22-I36</f>
        <v>299132602.43542778</v>
      </c>
      <c r="J38" s="102">
        <f t="shared" si="6"/>
        <v>4.4720881692533325</v>
      </c>
      <c r="K38" s="194">
        <f>K22-K36</f>
        <v>401332788.32743359</v>
      </c>
    </row>
    <row r="39" spans="1:12" ht="19.899999999999999" customHeight="1" x14ac:dyDescent="0.25">
      <c r="A39" s="937" t="s">
        <v>1119</v>
      </c>
      <c r="B39" s="419"/>
      <c r="C39" s="748"/>
      <c r="D39" s="745">
        <v>525891580.99999982</v>
      </c>
      <c r="E39" s="733"/>
      <c r="F39" s="733">
        <v>27157760.050000004</v>
      </c>
      <c r="G39" s="733">
        <v>28148168.810000002</v>
      </c>
      <c r="H39" s="733">
        <f t="shared" ref="H39:H41" si="10">D39/12*2</f>
        <v>87648596.833333299</v>
      </c>
      <c r="I39" s="47">
        <f>G39-H39</f>
        <v>-59500428.023333296</v>
      </c>
      <c r="J39" s="102">
        <f t="shared" si="6"/>
        <v>-0.67885203155591101</v>
      </c>
      <c r="K39" s="735">
        <f>D39</f>
        <v>525891580.99999982</v>
      </c>
    </row>
    <row r="40" spans="1:12" ht="39.6" customHeight="1" x14ac:dyDescent="0.25">
      <c r="A40" s="937" t="s">
        <v>1120</v>
      </c>
      <c r="B40" s="419"/>
      <c r="C40" s="748"/>
      <c r="D40" s="745"/>
      <c r="E40" s="733"/>
      <c r="F40" s="733"/>
      <c r="G40" s="733"/>
      <c r="H40" s="733">
        <f t="shared" si="10"/>
        <v>0</v>
      </c>
      <c r="I40" s="47">
        <f>G40-H40</f>
        <v>0</v>
      </c>
      <c r="J40" s="102" t="str">
        <f t="shared" si="6"/>
        <v/>
      </c>
      <c r="K40" s="735"/>
    </row>
    <row r="41" spans="1:12" ht="12.75" customHeight="1" x14ac:dyDescent="0.25">
      <c r="A41" s="518" t="s">
        <v>1121</v>
      </c>
      <c r="B41" s="419"/>
      <c r="C41" s="749"/>
      <c r="D41" s="750"/>
      <c r="E41" s="751"/>
      <c r="F41" s="751"/>
      <c r="G41" s="751"/>
      <c r="H41" s="751">
        <f t="shared" si="10"/>
        <v>0</v>
      </c>
      <c r="I41" s="47">
        <f>G41-H41</f>
        <v>0</v>
      </c>
      <c r="J41" s="102" t="str">
        <f t="shared" si="6"/>
        <v/>
      </c>
      <c r="K41" s="752"/>
    </row>
    <row r="42" spans="1:12" ht="25.5" x14ac:dyDescent="0.25">
      <c r="A42" s="250" t="s">
        <v>752</v>
      </c>
      <c r="B42" s="521"/>
      <c r="C42" s="252">
        <f t="shared" ref="C42:H42" si="11">C38+SUM(C39:C41)</f>
        <v>0</v>
      </c>
      <c r="D42" s="253">
        <f t="shared" si="11"/>
        <v>927224369.32743335</v>
      </c>
      <c r="E42" s="254">
        <f t="shared" si="11"/>
        <v>0</v>
      </c>
      <c r="F42" s="254">
        <f t="shared" si="11"/>
        <v>129949569.10999984</v>
      </c>
      <c r="G42" s="254">
        <f t="shared" si="11"/>
        <v>394169569.30000001</v>
      </c>
      <c r="H42" s="254">
        <f t="shared" si="11"/>
        <v>154537394.88790554</v>
      </c>
      <c r="I42" s="329"/>
      <c r="J42" s="329"/>
      <c r="K42" s="255">
        <f>K38+SUM(K39:K41)</f>
        <v>927224369.32743335</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2">C42-C43</f>
        <v>0</v>
      </c>
      <c r="D44" s="51">
        <f t="shared" si="12"/>
        <v>927224369.32743335</v>
      </c>
      <c r="E44" s="50">
        <f t="shared" si="12"/>
        <v>0</v>
      </c>
      <c r="F44" s="50">
        <f t="shared" si="12"/>
        <v>129949569.10999984</v>
      </c>
      <c r="G44" s="50">
        <f t="shared" si="12"/>
        <v>394169569.30000001</v>
      </c>
      <c r="H44" s="50">
        <f t="shared" si="12"/>
        <v>154537394.88790554</v>
      </c>
      <c r="I44" s="327"/>
      <c r="J44" s="327"/>
      <c r="K44" s="194">
        <f>K42-K43</f>
        <v>927224369.32743335</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3">SUM(C44:C45)</f>
        <v>0</v>
      </c>
      <c r="D46" s="530">
        <f t="shared" si="13"/>
        <v>927224369.32743335</v>
      </c>
      <c r="E46" s="528">
        <f t="shared" si="13"/>
        <v>0</v>
      </c>
      <c r="F46" s="528">
        <f t="shared" si="13"/>
        <v>129949569.10999984</v>
      </c>
      <c r="G46" s="528">
        <f t="shared" si="13"/>
        <v>394169569.30000001</v>
      </c>
      <c r="H46" s="528">
        <f t="shared" si="13"/>
        <v>154537394.88790554</v>
      </c>
      <c r="I46" s="273"/>
      <c r="J46" s="273"/>
      <c r="K46" s="529">
        <f>SUM(K44:K45)</f>
        <v>927224369.32743335</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4">C46+C47</f>
        <v>0</v>
      </c>
      <c r="D48" s="77">
        <f t="shared" si="14"/>
        <v>927224369.32743335</v>
      </c>
      <c r="E48" s="76">
        <f t="shared" si="14"/>
        <v>0</v>
      </c>
      <c r="F48" s="76">
        <f t="shared" si="14"/>
        <v>129949569.10999984</v>
      </c>
      <c r="G48" s="76">
        <f t="shared" si="14"/>
        <v>394169569.30000001</v>
      </c>
      <c r="H48" s="76">
        <f t="shared" si="14"/>
        <v>154537394.88790554</v>
      </c>
      <c r="I48" s="334"/>
      <c r="J48" s="334"/>
      <c r="K48" s="234">
        <f>K46+K47</f>
        <v>927224369.32743335</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5">C22+SUM(C39:C41)</f>
        <v>0</v>
      </c>
      <c r="D53" s="62">
        <f t="shared" si="15"/>
        <v>6443701838.8720617</v>
      </c>
      <c r="E53" s="62">
        <f t="shared" si="15"/>
        <v>0</v>
      </c>
      <c r="F53" s="62">
        <f t="shared" si="15"/>
        <v>711064546.40999985</v>
      </c>
      <c r="G53" s="62">
        <f t="shared" si="15"/>
        <v>1130217501.5199997</v>
      </c>
      <c r="H53" s="62">
        <f t="shared" si="15"/>
        <v>1073950306.4786768</v>
      </c>
      <c r="I53" s="62"/>
      <c r="J53" s="62"/>
      <c r="K53" s="62">
        <f>K22+SUM(K39:K41)</f>
        <v>6443701838.8720617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63" activePane="bottomRight" state="frozen"/>
      <selection pane="topRight"/>
      <selection pane="bottomLeft"/>
      <selection pane="bottomRight" sqref="A1:K74"/>
    </sheetView>
  </sheetViews>
  <sheetFormatPr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4" t="str">
        <f>muni&amp; " - "&amp;S71D&amp; " - "&amp;date</f>
        <v>KZN225 Msunduzi - Table C5 Consolidated Monthly Budget Statement - Capital Expenditure (municipal vote, functional classification and funding  - M02 August</v>
      </c>
      <c r="B1" s="1044"/>
      <c r="C1" s="1044"/>
      <c r="D1" s="1044"/>
      <c r="E1" s="1044"/>
      <c r="F1" s="1044"/>
      <c r="G1" s="1044"/>
      <c r="H1" s="1044"/>
      <c r="I1" s="1044"/>
      <c r="J1" s="1044"/>
      <c r="K1" s="1044"/>
    </row>
    <row r="2" spans="1:12" x14ac:dyDescent="0.25">
      <c r="A2" s="1042" t="str">
        <f>Vdesc</f>
        <v>Vote Description</v>
      </c>
      <c r="B2" s="1051" t="str">
        <f>head27</f>
        <v>Ref</v>
      </c>
      <c r="C2" s="139" t="str">
        <f>Head1</f>
        <v>2019/20</v>
      </c>
      <c r="D2" s="245" t="str">
        <f>Head2</f>
        <v>Budget Year 2020/21</v>
      </c>
      <c r="E2" s="229"/>
      <c r="F2" s="229"/>
      <c r="G2" s="229"/>
      <c r="H2" s="229"/>
      <c r="I2" s="229"/>
      <c r="J2" s="229"/>
      <c r="K2" s="230"/>
    </row>
    <row r="3" spans="1:12" ht="25.5" x14ac:dyDescent="0.25">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0</v>
      </c>
      <c r="F6" s="47">
        <f>'C5C'!F7</f>
        <v>0</v>
      </c>
      <c r="G6" s="47">
        <f>'C5C'!G7</f>
        <v>0</v>
      </c>
      <c r="H6" s="47">
        <f>'C5C'!H7</f>
        <v>633333.33333333337</v>
      </c>
      <c r="I6" s="44">
        <f>G6-H6</f>
        <v>-633333.33333333337</v>
      </c>
      <c r="J6" s="330">
        <f>IF(I6=0,"",I6/H6)</f>
        <v>-1</v>
      </c>
      <c r="K6" s="144">
        <f>'C5C'!K7</f>
        <v>3800000</v>
      </c>
      <c r="L6" s="100"/>
    </row>
    <row r="7" spans="1:12" ht="13.5" customHeight="1" x14ac:dyDescent="0.25">
      <c r="A7" s="407" t="str">
        <f>'Org structure'!A3</f>
        <v>Vote 2 - City Finance</v>
      </c>
      <c r="B7" s="419"/>
      <c r="C7" s="648">
        <f>'C5C'!C12</f>
        <v>0</v>
      </c>
      <c r="D7" s="670">
        <f>'C5C'!D12</f>
        <v>12500000</v>
      </c>
      <c r="E7" s="408">
        <f>'C5C'!E12</f>
        <v>0</v>
      </c>
      <c r="F7" s="408">
        <f>'C5C'!F12</f>
        <v>0</v>
      </c>
      <c r="G7" s="408">
        <f>'C5C'!G12</f>
        <v>0</v>
      </c>
      <c r="H7" s="408">
        <f>'C5C'!H12</f>
        <v>2083333.3333333333</v>
      </c>
      <c r="I7" s="44">
        <f>G7-H7</f>
        <v>-2083333.3333333333</v>
      </c>
      <c r="J7" s="330">
        <f>IF(I7=0,"",I7/H7)</f>
        <v>-1</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0</v>
      </c>
      <c r="F8" s="408">
        <f>'C5C'!F18</f>
        <v>996620.89</v>
      </c>
      <c r="G8" s="408">
        <f>'C5C'!G18</f>
        <v>996620.89</v>
      </c>
      <c r="H8" s="408">
        <f>'C5C'!H18</f>
        <v>3968737.5</v>
      </c>
      <c r="I8" s="44">
        <f t="shared" ref="I8:I17" si="0">G8-H8</f>
        <v>-2972116.61</v>
      </c>
      <c r="J8" s="330">
        <f t="shared" ref="J8:J17" si="1">IF(I8=0,"",I8/H8)</f>
        <v>-0.74888213443191942</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0</v>
      </c>
      <c r="F10" s="408">
        <f>'C5C'!F29</f>
        <v>0</v>
      </c>
      <c r="G10" s="408">
        <f>'C5C'!G29</f>
        <v>0</v>
      </c>
      <c r="H10" s="408">
        <f>'C5C'!H29</f>
        <v>28075833.333333336</v>
      </c>
      <c r="I10" s="44">
        <f t="shared" si="0"/>
        <v>-28075833.333333336</v>
      </c>
      <c r="J10" s="330">
        <f t="shared" si="1"/>
        <v>-1</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0</v>
      </c>
      <c r="F11" s="408">
        <f>'C5C'!F35</f>
        <v>5418128.1500000004</v>
      </c>
      <c r="G11" s="408">
        <f>'C5C'!G35</f>
        <v>5418128.1500000004</v>
      </c>
      <c r="H11" s="408">
        <f>'C5C'!H35</f>
        <v>50100026</v>
      </c>
      <c r="I11" s="44">
        <f t="shared" si="0"/>
        <v>-44681897.850000001</v>
      </c>
      <c r="J11" s="330">
        <f t="shared" si="1"/>
        <v>-0.89185378566470208</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0</v>
      </c>
      <c r="F21" s="430">
        <f t="shared" si="2"/>
        <v>6414749.04</v>
      </c>
      <c r="G21" s="430">
        <f t="shared" si="2"/>
        <v>6414749.04</v>
      </c>
      <c r="H21" s="430">
        <f t="shared" si="2"/>
        <v>84861263.5</v>
      </c>
      <c r="I21" s="430">
        <f t="shared" si="2"/>
        <v>-78446514.460000008</v>
      </c>
      <c r="J21" s="431">
        <f>IF(I21=0,"",I21/H21)</f>
        <v>-0.92440898502530555</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1135600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0</v>
      </c>
      <c r="F25" s="44">
        <f>'C5C'!F160</f>
        <v>0</v>
      </c>
      <c r="G25" s="44">
        <f>'C5C'!G160</f>
        <v>-97000</v>
      </c>
      <c r="H25" s="44">
        <f>'C5C'!H160</f>
        <v>2500000</v>
      </c>
      <c r="I25" s="44">
        <f>'C5C'!I160</f>
        <v>-2597000</v>
      </c>
      <c r="J25" s="330">
        <f t="shared" ref="J25:J39" si="3">IF(I25=0,"",I25/H25)</f>
        <v>-1.0387999999999999</v>
      </c>
      <c r="K25" s="144">
        <f>'C5C'!K160</f>
        <v>15000000</v>
      </c>
      <c r="L25" s="100"/>
    </row>
    <row r="26" spans="1:12" ht="12.75" customHeight="1" x14ac:dyDescent="0.25">
      <c r="A26" s="407" t="str">
        <f>'Org structure'!A4</f>
        <v>Vote 3 - Community Services and Social Equity</v>
      </c>
      <c r="B26" s="419"/>
      <c r="C26" s="134">
        <f>'C5C'!C171</f>
        <v>0</v>
      </c>
      <c r="D26" s="258">
        <f>'C5C'!D171</f>
        <v>13700000</v>
      </c>
      <c r="E26" s="44">
        <f>'C5C'!E171</f>
        <v>0</v>
      </c>
      <c r="F26" s="44">
        <f>'C5C'!F171</f>
        <v>1532007.65</v>
      </c>
      <c r="G26" s="44">
        <f>'C5C'!G171</f>
        <v>680534.5299999998</v>
      </c>
      <c r="H26" s="44">
        <f>'C5C'!H171</f>
        <v>2283333.3333333335</v>
      </c>
      <c r="I26" s="44">
        <f>'C5C'!I171</f>
        <v>-1602798.8033333337</v>
      </c>
      <c r="J26" s="330">
        <f t="shared" si="3"/>
        <v>-0.70195568029197086</v>
      </c>
      <c r="K26" s="144">
        <f>'C5C'!K171</f>
        <v>13700000</v>
      </c>
      <c r="L26" s="697"/>
    </row>
    <row r="27" spans="1:12" ht="12.75" customHeight="1" x14ac:dyDescent="0.25">
      <c r="A27" s="407" t="str">
        <f>'Org structure'!A5</f>
        <v>Vote 4 - Corporate Services</v>
      </c>
      <c r="B27" s="419"/>
      <c r="C27" s="134">
        <f>'C5C'!C182</f>
        <v>0</v>
      </c>
      <c r="D27" s="258">
        <f>'C5C'!D182</f>
        <v>0</v>
      </c>
      <c r="E27" s="44">
        <f>'C5C'!E182</f>
        <v>0</v>
      </c>
      <c r="F27" s="44">
        <f>'C5C'!F182</f>
        <v>0</v>
      </c>
      <c r="G27" s="44">
        <f>'C5C'!G182</f>
        <v>0</v>
      </c>
      <c r="H27" s="44">
        <f>'C5C'!H182</f>
        <v>0</v>
      </c>
      <c r="I27" s="44">
        <f>'C5C'!I182</f>
        <v>0</v>
      </c>
      <c r="J27" s="330" t="str">
        <f t="shared" si="3"/>
        <v/>
      </c>
      <c r="K27" s="144">
        <f>'C5C'!K182</f>
        <v>0</v>
      </c>
      <c r="L27" s="697"/>
    </row>
    <row r="28" spans="1:12" ht="12.75" customHeight="1" x14ac:dyDescent="0.25">
      <c r="A28" s="407" t="str">
        <f>'Org structure'!A6</f>
        <v>Vote 5 - Infrastructure Services</v>
      </c>
      <c r="B28" s="419"/>
      <c r="C28" s="134">
        <f>'C5C'!C193</f>
        <v>0</v>
      </c>
      <c r="D28" s="258">
        <f>'C5C'!D193</f>
        <v>33000000</v>
      </c>
      <c r="E28" s="44">
        <f>'C5C'!E193</f>
        <v>0</v>
      </c>
      <c r="F28" s="44">
        <f>'C5C'!F193</f>
        <v>19211033</v>
      </c>
      <c r="G28" s="44">
        <f>'C5C'!G193</f>
        <v>22178778.059999999</v>
      </c>
      <c r="H28" s="44">
        <f>'C5C'!H193</f>
        <v>5500000</v>
      </c>
      <c r="I28" s="44">
        <f>'C5C'!I193</f>
        <v>16678778.059999999</v>
      </c>
      <c r="J28" s="330">
        <f t="shared" si="3"/>
        <v>3.0325051018181814</v>
      </c>
      <c r="K28" s="144">
        <f>'C5C'!K193</f>
        <v>33000000</v>
      </c>
      <c r="L28" s="697"/>
    </row>
    <row r="29" spans="1:12" ht="12.75" customHeight="1" x14ac:dyDescent="0.25">
      <c r="A29" s="407" t="str">
        <f>'Org structure'!A7</f>
        <v>Vote 6 - Sustainable Development and City Enterprises</v>
      </c>
      <c r="B29" s="419"/>
      <c r="C29" s="134">
        <f>'C5C'!C204</f>
        <v>0</v>
      </c>
      <c r="D29" s="258">
        <f>'C5C'!D204</f>
        <v>10024000</v>
      </c>
      <c r="E29" s="44">
        <f>'C5C'!E204</f>
        <v>0</v>
      </c>
      <c r="F29" s="44">
        <f>'C5C'!F204</f>
        <v>0</v>
      </c>
      <c r="G29" s="44">
        <f>'C5C'!G204</f>
        <v>-1082623.3999999999</v>
      </c>
      <c r="H29" s="44">
        <f>'C5C'!H204</f>
        <v>1670666.6666666667</v>
      </c>
      <c r="I29" s="44">
        <f>'C5C'!I204</f>
        <v>-2753290.0666666664</v>
      </c>
      <c r="J29" s="330">
        <f t="shared" si="3"/>
        <v>-1.6480187948922584</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0</v>
      </c>
      <c r="F39" s="161">
        <f t="shared" si="4"/>
        <v>21878640.649999999</v>
      </c>
      <c r="G39" s="161">
        <f t="shared" si="4"/>
        <v>22815289.190000001</v>
      </c>
      <c r="H39" s="161">
        <f t="shared" si="4"/>
        <v>11954000</v>
      </c>
      <c r="I39" s="73">
        <f t="shared" si="4"/>
        <v>10861289.189999998</v>
      </c>
      <c r="J39" s="331">
        <f t="shared" si="3"/>
        <v>0.90859036222185019</v>
      </c>
      <c r="K39" s="263">
        <f>SUM(K24:K38)</f>
        <v>71724000</v>
      </c>
      <c r="L39" s="100"/>
    </row>
    <row r="40" spans="1:12" ht="12.75" customHeight="1" x14ac:dyDescent="0.25">
      <c r="A40" s="92" t="s">
        <v>761</v>
      </c>
      <c r="B40" s="422"/>
      <c r="C40" s="243">
        <f t="shared" ref="C40:I40" si="5">C39+C21</f>
        <v>0</v>
      </c>
      <c r="D40" s="260">
        <f t="shared" si="5"/>
        <v>580891581</v>
      </c>
      <c r="E40" s="73">
        <f t="shared" si="5"/>
        <v>0</v>
      </c>
      <c r="F40" s="73">
        <f t="shared" si="5"/>
        <v>28293389.689999998</v>
      </c>
      <c r="G40" s="73">
        <f t="shared" si="5"/>
        <v>29230038.23</v>
      </c>
      <c r="H40" s="73">
        <f t="shared" si="5"/>
        <v>96815263.5</v>
      </c>
      <c r="I40" s="73">
        <f t="shared" si="5"/>
        <v>-67585225.270000011</v>
      </c>
      <c r="J40" s="331">
        <f>IF(I40=0,"",I40/H40)</f>
        <v>-0.69808440143325134</v>
      </c>
      <c r="K40" s="145">
        <f>K39+K21</f>
        <v>580891581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0</v>
      </c>
      <c r="F43" s="637">
        <f t="shared" si="6"/>
        <v>1135600</v>
      </c>
      <c r="G43" s="637">
        <f t="shared" si="6"/>
        <v>1038600</v>
      </c>
      <c r="H43" s="637">
        <f t="shared" si="6"/>
        <v>5416666.666666666</v>
      </c>
      <c r="I43" s="44">
        <f t="shared" ref="I43:I62" si="7">G43-H43</f>
        <v>-4378066.666666666</v>
      </c>
      <c r="J43" s="330">
        <f>IF(I43=0,"",I43/H43)</f>
        <v>-0.80825846153846148</v>
      </c>
      <c r="K43" s="641">
        <f>SUM(K44:K46)</f>
        <v>32500000</v>
      </c>
      <c r="L43" s="100"/>
    </row>
    <row r="44" spans="1:12" ht="12.75" customHeight="1" x14ac:dyDescent="0.25">
      <c r="A44" s="416" t="s">
        <v>108</v>
      </c>
      <c r="B44" s="419"/>
      <c r="C44" s="735"/>
      <c r="D44" s="753">
        <v>5000000</v>
      </c>
      <c r="E44" s="733"/>
      <c r="F44" s="733">
        <v>1135600</v>
      </c>
      <c r="G44" s="733">
        <v>1135600</v>
      </c>
      <c r="H44" s="733">
        <f>D44/12*2</f>
        <v>833333.33333333337</v>
      </c>
      <c r="I44" s="44">
        <f t="shared" si="7"/>
        <v>302266.66666666663</v>
      </c>
      <c r="J44" s="330">
        <f t="shared" ref="J44:J63" si="8">IF(I44=0,"",I44/H44)</f>
        <v>0.36271999999999993</v>
      </c>
      <c r="K44" s="735">
        <f>D44</f>
        <v>5000000</v>
      </c>
      <c r="L44" s="100"/>
    </row>
    <row r="45" spans="1:12" ht="12.75" customHeight="1" x14ac:dyDescent="0.25">
      <c r="A45" s="416" t="s">
        <v>1123</v>
      </c>
      <c r="B45" s="419"/>
      <c r="C45" s="754"/>
      <c r="D45" s="755">
        <v>27500000</v>
      </c>
      <c r="E45" s="756"/>
      <c r="F45" s="756"/>
      <c r="G45" s="756">
        <v>-97000</v>
      </c>
      <c r="H45" s="756">
        <f>D45/12*2</f>
        <v>4583333.333333333</v>
      </c>
      <c r="I45" s="44">
        <f t="shared" si="7"/>
        <v>-4680333.333333333</v>
      </c>
      <c r="J45" s="330">
        <f t="shared" si="8"/>
        <v>-1.0211636363636363</v>
      </c>
      <c r="K45" s="754">
        <f>D45</f>
        <v>27500000</v>
      </c>
      <c r="L45" s="100"/>
    </row>
    <row r="46" spans="1:12" ht="12.75" customHeight="1" x14ac:dyDescent="0.25">
      <c r="A46" s="416" t="s">
        <v>1134</v>
      </c>
      <c r="B46" s="419"/>
      <c r="C46" s="735"/>
      <c r="D46" s="753"/>
      <c r="E46" s="733"/>
      <c r="F46" s="733"/>
      <c r="G46" s="733"/>
      <c r="H46" s="733">
        <f>D46/12*2</f>
        <v>0</v>
      </c>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0</v>
      </c>
      <c r="F47" s="637">
        <f t="shared" si="9"/>
        <v>2528628.54</v>
      </c>
      <c r="G47" s="637">
        <f t="shared" si="9"/>
        <v>1677155.42</v>
      </c>
      <c r="H47" s="637">
        <f t="shared" si="9"/>
        <v>54145682</v>
      </c>
      <c r="I47" s="44">
        <f t="shared" si="7"/>
        <v>-52468526.579999998</v>
      </c>
      <c r="J47" s="330">
        <f t="shared" si="8"/>
        <v>-0.9690251307574258</v>
      </c>
      <c r="K47" s="641">
        <f>SUM(K48:K52)</f>
        <v>324874092</v>
      </c>
      <c r="L47" s="100"/>
    </row>
    <row r="48" spans="1:12" ht="12.75" customHeight="1" x14ac:dyDescent="0.25">
      <c r="A48" s="416" t="s">
        <v>110</v>
      </c>
      <c r="B48" s="419"/>
      <c r="C48" s="735"/>
      <c r="D48" s="753">
        <v>45972000</v>
      </c>
      <c r="E48" s="733"/>
      <c r="F48" s="733">
        <v>1816097.93</v>
      </c>
      <c r="G48" s="733">
        <v>964624.80999999982</v>
      </c>
      <c r="H48" s="733">
        <f t="shared" ref="H48:H52" si="10">D48/12*2</f>
        <v>7662000</v>
      </c>
      <c r="I48" s="44">
        <f t="shared" si="7"/>
        <v>-6697375.1900000004</v>
      </c>
      <c r="J48" s="330">
        <f t="shared" si="8"/>
        <v>-0.87410273949360484</v>
      </c>
      <c r="K48" s="735">
        <f>D48</f>
        <v>45972000</v>
      </c>
      <c r="L48" s="100"/>
    </row>
    <row r="49" spans="1:12" ht="12.75" customHeight="1" x14ac:dyDescent="0.25">
      <c r="A49" s="416" t="s">
        <v>111</v>
      </c>
      <c r="B49" s="419"/>
      <c r="C49" s="735"/>
      <c r="D49" s="753"/>
      <c r="E49" s="733"/>
      <c r="F49" s="733">
        <v>712530.61</v>
      </c>
      <c r="G49" s="733">
        <v>712530.61</v>
      </c>
      <c r="H49" s="733">
        <f t="shared" si="10"/>
        <v>0</v>
      </c>
      <c r="I49" s="44">
        <f t="shared" si="7"/>
        <v>712530.61</v>
      </c>
      <c r="J49" s="330" t="e">
        <f t="shared" si="8"/>
        <v>#DIV/0!</v>
      </c>
      <c r="K49" s="735"/>
      <c r="L49" s="100"/>
    </row>
    <row r="50" spans="1:12" ht="12.75" customHeight="1" x14ac:dyDescent="0.25">
      <c r="A50" s="416" t="s">
        <v>112</v>
      </c>
      <c r="B50" s="419"/>
      <c r="C50" s="735"/>
      <c r="D50" s="753"/>
      <c r="E50" s="733"/>
      <c r="F50" s="733"/>
      <c r="G50" s="733"/>
      <c r="H50" s="733">
        <f t="shared" si="10"/>
        <v>0</v>
      </c>
      <c r="I50" s="44">
        <f t="shared" si="7"/>
        <v>0</v>
      </c>
      <c r="J50" s="330" t="str">
        <f t="shared" si="8"/>
        <v/>
      </c>
      <c r="K50" s="735"/>
      <c r="L50" s="100"/>
    </row>
    <row r="51" spans="1:12" ht="12.75" customHeight="1" x14ac:dyDescent="0.25">
      <c r="A51" s="416" t="s">
        <v>711</v>
      </c>
      <c r="B51" s="419"/>
      <c r="C51" s="735"/>
      <c r="D51" s="753">
        <v>278902092</v>
      </c>
      <c r="E51" s="733"/>
      <c r="F51" s="733"/>
      <c r="G51" s="733"/>
      <c r="H51" s="733">
        <f t="shared" si="10"/>
        <v>46483682</v>
      </c>
      <c r="I51" s="44">
        <f t="shared" si="7"/>
        <v>-46483682</v>
      </c>
      <c r="J51" s="330">
        <f t="shared" si="8"/>
        <v>-1</v>
      </c>
      <c r="K51" s="735">
        <f>D51</f>
        <v>278902092</v>
      </c>
      <c r="L51" s="100"/>
    </row>
    <row r="52" spans="1:12" ht="12.75" customHeight="1" x14ac:dyDescent="0.25">
      <c r="A52" s="416" t="s">
        <v>610</v>
      </c>
      <c r="B52" s="419"/>
      <c r="C52" s="754"/>
      <c r="D52" s="755"/>
      <c r="E52" s="756"/>
      <c r="F52" s="756"/>
      <c r="G52" s="756"/>
      <c r="H52" s="756">
        <f t="shared" si="10"/>
        <v>0</v>
      </c>
      <c r="I52" s="44">
        <f t="shared" si="7"/>
        <v>0</v>
      </c>
      <c r="J52" s="330" t="str">
        <f t="shared" si="8"/>
        <v/>
      </c>
      <c r="K52" s="754"/>
      <c r="L52" s="100"/>
    </row>
    <row r="53" spans="1:12" ht="12.75" customHeight="1" x14ac:dyDescent="0.25">
      <c r="A53" s="414" t="s">
        <v>113</v>
      </c>
      <c r="B53" s="419"/>
      <c r="C53" s="641">
        <f t="shared" ref="C53:H53" si="11">SUM(C54:C56)</f>
        <v>0</v>
      </c>
      <c r="D53" s="669">
        <f t="shared" si="11"/>
        <v>104572064</v>
      </c>
      <c r="E53" s="637">
        <f t="shared" si="11"/>
        <v>0</v>
      </c>
      <c r="F53" s="637">
        <f t="shared" si="11"/>
        <v>14905866.040000001</v>
      </c>
      <c r="G53" s="637">
        <f t="shared" si="11"/>
        <v>15117485.51</v>
      </c>
      <c r="H53" s="637">
        <f t="shared" si="11"/>
        <v>17428677.333333332</v>
      </c>
      <c r="I53" s="44">
        <f t="shared" si="7"/>
        <v>-2311191.8233333323</v>
      </c>
      <c r="J53" s="330">
        <f t="shared" si="8"/>
        <v>-0.13260856111628433</v>
      </c>
      <c r="K53" s="641">
        <f>SUM(K54:K56)</f>
        <v>104572064</v>
      </c>
      <c r="L53" s="100"/>
    </row>
    <row r="54" spans="1:12" ht="12.75" customHeight="1" x14ac:dyDescent="0.25">
      <c r="A54" s="416" t="s">
        <v>114</v>
      </c>
      <c r="B54" s="419"/>
      <c r="C54" s="735"/>
      <c r="D54" s="753">
        <v>13936064</v>
      </c>
      <c r="E54" s="733"/>
      <c r="F54" s="733">
        <v>5418128.1500000004</v>
      </c>
      <c r="G54" s="733">
        <v>5418128.1500000004</v>
      </c>
      <c r="H54" s="733">
        <f t="shared" ref="H54:H56" si="12">D54/12*2</f>
        <v>2322677.3333333335</v>
      </c>
      <c r="I54" s="44">
        <f t="shared" si="7"/>
        <v>3095450.8166666669</v>
      </c>
      <c r="J54" s="330">
        <f t="shared" si="8"/>
        <v>1.3327080659216262</v>
      </c>
      <c r="K54" s="735">
        <f>D54</f>
        <v>13936064</v>
      </c>
      <c r="L54" s="100"/>
    </row>
    <row r="55" spans="1:12" ht="12.75" customHeight="1" x14ac:dyDescent="0.25">
      <c r="A55" s="416" t="s">
        <v>115</v>
      </c>
      <c r="B55" s="419"/>
      <c r="C55" s="735"/>
      <c r="D55" s="753">
        <v>90636000</v>
      </c>
      <c r="E55" s="733"/>
      <c r="F55" s="733">
        <v>9487737.8900000006</v>
      </c>
      <c r="G55" s="733">
        <v>9699357.3599999994</v>
      </c>
      <c r="H55" s="733">
        <f t="shared" si="12"/>
        <v>15106000</v>
      </c>
      <c r="I55" s="44">
        <f t="shared" si="7"/>
        <v>-5406642.6400000006</v>
      </c>
      <c r="J55" s="330">
        <f t="shared" si="8"/>
        <v>-0.35791358665430961</v>
      </c>
      <c r="K55" s="735">
        <f>D55</f>
        <v>90636000</v>
      </c>
      <c r="L55" s="100"/>
    </row>
    <row r="56" spans="1:12" ht="12.75" customHeight="1" x14ac:dyDescent="0.25">
      <c r="A56" s="416" t="s">
        <v>116</v>
      </c>
      <c r="B56" s="419"/>
      <c r="C56" s="735"/>
      <c r="D56" s="753"/>
      <c r="E56" s="733"/>
      <c r="F56" s="733"/>
      <c r="G56" s="733"/>
      <c r="H56" s="733">
        <f t="shared" si="12"/>
        <v>0</v>
      </c>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0</v>
      </c>
      <c r="F57" s="637">
        <f t="shared" si="13"/>
        <v>9723265.4700000007</v>
      </c>
      <c r="G57" s="637">
        <f t="shared" si="13"/>
        <v>12479391.060000001</v>
      </c>
      <c r="H57" s="637">
        <f t="shared" si="13"/>
        <v>17294833.333333336</v>
      </c>
      <c r="I57" s="44">
        <f t="shared" si="7"/>
        <v>-4815442.2733333353</v>
      </c>
      <c r="J57" s="330">
        <f t="shared" si="8"/>
        <v>-0.27843241854503759</v>
      </c>
      <c r="K57" s="641">
        <f>SUM(K58:K61)</f>
        <v>103769000</v>
      </c>
      <c r="L57" s="100"/>
    </row>
    <row r="58" spans="1:12" ht="12.75" customHeight="1" x14ac:dyDescent="0.25">
      <c r="A58" s="416" t="s">
        <v>1191</v>
      </c>
      <c r="B58" s="419"/>
      <c r="C58" s="735"/>
      <c r="D58" s="753">
        <v>12500000</v>
      </c>
      <c r="E58" s="733"/>
      <c r="F58" s="733"/>
      <c r="G58" s="733"/>
      <c r="H58" s="733">
        <f t="shared" ref="H58:H62" si="14">D58/12*2</f>
        <v>2083333.3333333333</v>
      </c>
      <c r="I58" s="44">
        <f t="shared" si="7"/>
        <v>-2083333.3333333333</v>
      </c>
      <c r="J58" s="330">
        <f t="shared" si="8"/>
        <v>-1</v>
      </c>
      <c r="K58" s="735">
        <f>D58</f>
        <v>12500000</v>
      </c>
      <c r="L58" s="100"/>
    </row>
    <row r="59" spans="1:12" ht="12.75" customHeight="1" x14ac:dyDescent="0.25">
      <c r="A59" s="416" t="s">
        <v>1195</v>
      </c>
      <c r="B59" s="419"/>
      <c r="C59" s="735"/>
      <c r="D59" s="753">
        <v>59255000</v>
      </c>
      <c r="E59" s="733"/>
      <c r="F59" s="733">
        <v>4011578.48</v>
      </c>
      <c r="G59" s="733">
        <v>4011578.48</v>
      </c>
      <c r="H59" s="733">
        <f t="shared" si="14"/>
        <v>9875833.333333334</v>
      </c>
      <c r="I59" s="44">
        <f t="shared" si="7"/>
        <v>-5864254.8533333335</v>
      </c>
      <c r="J59" s="330">
        <f t="shared" si="8"/>
        <v>-0.5937984831659775</v>
      </c>
      <c r="K59" s="735">
        <f>D59</f>
        <v>59255000</v>
      </c>
      <c r="L59" s="100"/>
    </row>
    <row r="60" spans="1:12" ht="12.75" customHeight="1" x14ac:dyDescent="0.25">
      <c r="A60" s="416" t="s">
        <v>118</v>
      </c>
      <c r="B60" s="419"/>
      <c r="C60" s="754"/>
      <c r="D60" s="755">
        <v>27514000</v>
      </c>
      <c r="E60" s="756"/>
      <c r="F60" s="756">
        <v>5711686.9900000002</v>
      </c>
      <c r="G60" s="756">
        <v>8467812.5800000001</v>
      </c>
      <c r="H60" s="756">
        <f t="shared" si="14"/>
        <v>4585666.666666667</v>
      </c>
      <c r="I60" s="44">
        <f t="shared" si="7"/>
        <v>3882145.9133333331</v>
      </c>
      <c r="J60" s="330">
        <f t="shared" si="8"/>
        <v>0.84658266627898515</v>
      </c>
      <c r="K60" s="754">
        <f>D60</f>
        <v>27514000</v>
      </c>
      <c r="L60" s="100"/>
    </row>
    <row r="61" spans="1:12" ht="12.75" customHeight="1" x14ac:dyDescent="0.25">
      <c r="A61" s="416" t="s">
        <v>119</v>
      </c>
      <c r="B61" s="419"/>
      <c r="C61" s="735"/>
      <c r="D61" s="753">
        <v>4500000</v>
      </c>
      <c r="E61" s="733"/>
      <c r="F61" s="733"/>
      <c r="G61" s="733"/>
      <c r="H61" s="733">
        <f t="shared" si="14"/>
        <v>750000</v>
      </c>
      <c r="I61" s="44">
        <f t="shared" si="7"/>
        <v>-750000</v>
      </c>
      <c r="J61" s="330">
        <f t="shared" si="8"/>
        <v>-1</v>
      </c>
      <c r="K61" s="735">
        <f>D61</f>
        <v>4500000</v>
      </c>
      <c r="L61" s="100"/>
    </row>
    <row r="62" spans="1:12" ht="12.75" customHeight="1" x14ac:dyDescent="0.25">
      <c r="A62" s="414" t="s">
        <v>718</v>
      </c>
      <c r="B62" s="419"/>
      <c r="C62" s="735"/>
      <c r="D62" s="753">
        <v>2500000</v>
      </c>
      <c r="E62" s="733"/>
      <c r="F62" s="733"/>
      <c r="G62" s="733">
        <v>-1082623.3999999999</v>
      </c>
      <c r="H62" s="733">
        <f t="shared" si="14"/>
        <v>416666.66666666669</v>
      </c>
      <c r="I62" s="44">
        <f t="shared" si="7"/>
        <v>-1499290.0666666667</v>
      </c>
      <c r="J62" s="330">
        <f t="shared" si="8"/>
        <v>-3.5982961599999999</v>
      </c>
      <c r="K62" s="735">
        <f>D62</f>
        <v>2500000</v>
      </c>
      <c r="L62" s="100"/>
    </row>
    <row r="63" spans="1:12" ht="12.75" customHeight="1" x14ac:dyDescent="0.25">
      <c r="A63" s="537" t="s">
        <v>1213</v>
      </c>
      <c r="B63" s="539">
        <v>3</v>
      </c>
      <c r="C63" s="540">
        <f>C43+C47+C53+C57+C62</f>
        <v>0</v>
      </c>
      <c r="D63" s="541">
        <f t="shared" ref="D63:I63" si="15">D43+D47+D53+D57+D62</f>
        <v>568215156</v>
      </c>
      <c r="E63" s="478">
        <f t="shared" si="15"/>
        <v>0</v>
      </c>
      <c r="F63" s="478">
        <f t="shared" si="15"/>
        <v>28293360.050000004</v>
      </c>
      <c r="G63" s="478">
        <f t="shared" si="15"/>
        <v>29230008.590000004</v>
      </c>
      <c r="H63" s="478">
        <f t="shared" si="15"/>
        <v>94702526.000000015</v>
      </c>
      <c r="I63" s="478">
        <f t="shared" si="15"/>
        <v>-65472517.409999996</v>
      </c>
      <c r="J63" s="542">
        <f t="shared" si="8"/>
        <v>-0.69134921923835468</v>
      </c>
      <c r="K63" s="543">
        <f>K43+K47+K53+K57+K62</f>
        <v>568215156</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c r="F66" s="733">
        <v>21739661.539999999</v>
      </c>
      <c r="G66" s="733">
        <v>23994869.669999998</v>
      </c>
      <c r="H66" s="733">
        <f t="shared" ref="H66:H69" si="16">D66/12*2</f>
        <v>42544570.833333306</v>
      </c>
      <c r="I66" s="44">
        <f t="shared" ref="I66:I74" si="17">G66-H66</f>
        <v>-18549701.163333308</v>
      </c>
      <c r="J66" s="330">
        <f t="shared" ref="J66:J74" si="18">IF(I66=0,"",I66/H66)</f>
        <v>-0.43600630585747446</v>
      </c>
      <c r="K66" s="735">
        <f>D66</f>
        <v>255267424.99999985</v>
      </c>
      <c r="L66" s="100"/>
    </row>
    <row r="67" spans="1:12" ht="12.75" customHeight="1" x14ac:dyDescent="0.25">
      <c r="A67" s="107" t="s">
        <v>603</v>
      </c>
      <c r="B67" s="169"/>
      <c r="C67" s="748"/>
      <c r="D67" s="753">
        <v>270624156</v>
      </c>
      <c r="E67" s="733"/>
      <c r="F67" s="733">
        <v>5418128.1500000004</v>
      </c>
      <c r="G67" s="733">
        <v>4196568.5600000005</v>
      </c>
      <c r="H67" s="733">
        <f t="shared" si="16"/>
        <v>45104026</v>
      </c>
      <c r="I67" s="44">
        <f t="shared" si="17"/>
        <v>-40907457.439999998</v>
      </c>
      <c r="J67" s="330">
        <f t="shared" si="18"/>
        <v>-0.9069580050348498</v>
      </c>
      <c r="K67" s="735">
        <f>D67</f>
        <v>270624156</v>
      </c>
      <c r="L67" s="100"/>
    </row>
    <row r="68" spans="1:12" ht="12.75" customHeight="1" x14ac:dyDescent="0.25">
      <c r="A68" s="107" t="s">
        <v>604</v>
      </c>
      <c r="B68" s="169"/>
      <c r="C68" s="748"/>
      <c r="D68" s="753"/>
      <c r="E68" s="733"/>
      <c r="F68" s="733"/>
      <c r="G68" s="733"/>
      <c r="H68" s="733">
        <f t="shared" si="16"/>
        <v>0</v>
      </c>
      <c r="I68" s="44">
        <f t="shared" si="17"/>
        <v>0</v>
      </c>
      <c r="J68" s="330" t="str">
        <f t="shared" si="18"/>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f t="shared" si="16"/>
        <v>0</v>
      </c>
      <c r="I69" s="99">
        <f t="shared" si="17"/>
        <v>0</v>
      </c>
      <c r="J69" s="335" t="str">
        <f t="shared" si="18"/>
        <v/>
      </c>
      <c r="K69" s="752"/>
      <c r="L69" s="100"/>
    </row>
    <row r="70" spans="1:12" ht="12.75" customHeight="1" x14ac:dyDescent="0.25">
      <c r="A70" s="692" t="s">
        <v>959</v>
      </c>
      <c r="B70" s="169"/>
      <c r="C70" s="109">
        <f t="shared" ref="C70:H70" si="19">SUM(C66:C69)</f>
        <v>0</v>
      </c>
      <c r="D70" s="259">
        <f t="shared" si="19"/>
        <v>525891580.99999988</v>
      </c>
      <c r="E70" s="50">
        <f t="shared" si="19"/>
        <v>0</v>
      </c>
      <c r="F70" s="50">
        <f t="shared" si="19"/>
        <v>27157789.689999998</v>
      </c>
      <c r="G70" s="50">
        <f t="shared" si="19"/>
        <v>28191438.229999997</v>
      </c>
      <c r="H70" s="50">
        <f t="shared" si="19"/>
        <v>87648596.833333313</v>
      </c>
      <c r="I70" s="50">
        <f t="shared" si="17"/>
        <v>-59457158.603333317</v>
      </c>
      <c r="J70" s="146">
        <f t="shared" si="18"/>
        <v>-0.67835836227239388</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f t="shared" ref="H72:H73" si="20">D72/12*2</f>
        <v>0</v>
      </c>
      <c r="I72" s="44">
        <f t="shared" si="17"/>
        <v>0</v>
      </c>
      <c r="J72" s="330" t="str">
        <f t="shared" si="18"/>
        <v/>
      </c>
      <c r="K72" s="735"/>
      <c r="L72" s="100"/>
    </row>
    <row r="73" spans="1:12" ht="12.75" customHeight="1" x14ac:dyDescent="0.25">
      <c r="A73" s="106" t="s">
        <v>472</v>
      </c>
      <c r="B73" s="248"/>
      <c r="C73" s="749"/>
      <c r="D73" s="757">
        <v>55000000</v>
      </c>
      <c r="E73" s="751"/>
      <c r="F73" s="751">
        <v>1135600</v>
      </c>
      <c r="G73" s="751">
        <v>1038600</v>
      </c>
      <c r="H73" s="751">
        <f t="shared" si="20"/>
        <v>9166666.666666666</v>
      </c>
      <c r="I73" s="99">
        <f t="shared" si="17"/>
        <v>-8128066.666666666</v>
      </c>
      <c r="J73" s="335">
        <f t="shared" si="18"/>
        <v>-0.88669818181818183</v>
      </c>
      <c r="K73" s="752">
        <f>D73</f>
        <v>55000000</v>
      </c>
      <c r="L73" s="100"/>
    </row>
    <row r="74" spans="1:12" ht="12.75" customHeight="1" x14ac:dyDescent="0.25">
      <c r="A74" s="538" t="s">
        <v>892</v>
      </c>
      <c r="B74" s="119"/>
      <c r="C74" s="244">
        <f t="shared" ref="C74:H74" si="21">+C70+C72+C73</f>
        <v>0</v>
      </c>
      <c r="D74" s="265">
        <f t="shared" si="21"/>
        <v>580891580.99999988</v>
      </c>
      <c r="E74" s="76">
        <f t="shared" si="21"/>
        <v>0</v>
      </c>
      <c r="F74" s="76">
        <f t="shared" si="21"/>
        <v>28293389.689999998</v>
      </c>
      <c r="G74" s="76">
        <f t="shared" si="21"/>
        <v>29230038.229999997</v>
      </c>
      <c r="H74" s="76">
        <f t="shared" si="21"/>
        <v>96815263.499999985</v>
      </c>
      <c r="I74" s="76">
        <f t="shared" si="17"/>
        <v>-67585225.269999981</v>
      </c>
      <c r="J74" s="333">
        <f t="shared" si="18"/>
        <v>-0.69808440143325123</v>
      </c>
      <c r="K74" s="234">
        <f>+K70+K72+K73</f>
        <v>580891580.99999988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4" t="s">
        <v>143</v>
      </c>
      <c r="B77" s="1054"/>
      <c r="C77" s="1054"/>
      <c r="D77" s="1054"/>
      <c r="E77" s="1054"/>
      <c r="F77" s="1054"/>
      <c r="G77" s="1054"/>
      <c r="H77" s="1054"/>
      <c r="I77" s="1054"/>
      <c r="J77" s="1054"/>
      <c r="K77" s="1054"/>
    </row>
    <row r="78" spans="1:12" ht="12" customHeight="1" x14ac:dyDescent="0.25">
      <c r="A78" s="1054" t="s">
        <v>1215</v>
      </c>
      <c r="B78" s="1054"/>
      <c r="C78" s="1054"/>
      <c r="D78" s="1054"/>
      <c r="E78" s="1054"/>
      <c r="F78" s="1054"/>
      <c r="G78" s="1054"/>
      <c r="H78" s="1054"/>
      <c r="I78" s="1054"/>
      <c r="J78" s="1054"/>
      <c r="K78" s="1054"/>
    </row>
    <row r="79" spans="1:12" ht="12" customHeight="1" x14ac:dyDescent="0.25">
      <c r="A79" s="1055" t="s">
        <v>524</v>
      </c>
      <c r="B79" s="1054"/>
      <c r="C79" s="1054"/>
      <c r="D79" s="1054"/>
      <c r="E79" s="1054"/>
      <c r="F79" s="1054"/>
      <c r="G79" s="1054"/>
      <c r="H79" s="1054"/>
      <c r="I79" s="1054"/>
      <c r="J79" s="1054"/>
      <c r="K79" s="105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2">D40-D74</f>
        <v>0</v>
      </c>
      <c r="E86" s="693">
        <f t="shared" si="22"/>
        <v>0</v>
      </c>
      <c r="F86" s="693">
        <f t="shared" si="22"/>
        <v>0</v>
      </c>
      <c r="G86" s="693">
        <f t="shared" si="22"/>
        <v>0</v>
      </c>
      <c r="H86" s="693">
        <f t="shared" si="22"/>
        <v>0</v>
      </c>
      <c r="I86" s="693"/>
      <c r="J86" s="693"/>
      <c r="K86" s="693">
        <f t="shared" si="22"/>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45" activePane="bottomRight" state="frozen"/>
      <selection pane="topRight"/>
      <selection pane="bottomLeft"/>
      <selection pane="bottomRight" activeCell="F205" sqref="F205:G209"/>
    </sheetView>
  </sheetViews>
  <sheetFormatPr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4" t="str">
        <f>muni&amp; " - "&amp;S71D&amp; " - "&amp;"A"&amp; " - "&amp;date</f>
        <v>KZN225 Msunduzi - Table C5 Consolidated Monthly Budget Statement - Capital Expenditure (municipal vote, functional classification and funding  - A - M02 August</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0</v>
      </c>
      <c r="F7" s="443">
        <f t="shared" si="0"/>
        <v>0</v>
      </c>
      <c r="G7" s="441">
        <f t="shared" si="0"/>
        <v>0</v>
      </c>
      <c r="H7" s="443">
        <f t="shared" si="0"/>
        <v>633333.33333333337</v>
      </c>
      <c r="I7" s="50">
        <f t="shared" ref="I7:I43" si="1">G7-H7</f>
        <v>-633333.33333333337</v>
      </c>
      <c r="J7" s="146">
        <f t="shared" ref="J7:J43" si="2">IF(I7=0,"",I7/H7)</f>
        <v>-1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f>D8/2</f>
        <v>0</v>
      </c>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c r="F9" s="742"/>
      <c r="G9" s="741"/>
      <c r="H9" s="742">
        <f>D9/12*2</f>
        <v>633333.33333333337</v>
      </c>
      <c r="I9" s="44">
        <f t="shared" si="1"/>
        <v>-633333.33333333337</v>
      </c>
      <c r="J9" s="330">
        <f t="shared" si="2"/>
        <v>-1</v>
      </c>
      <c r="K9" s="743">
        <f>D9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f>D10/12*2</f>
        <v>0</v>
      </c>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f>D11/12*2</f>
        <v>0</v>
      </c>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0</v>
      </c>
      <c r="F12" s="443">
        <f t="shared" si="3"/>
        <v>0</v>
      </c>
      <c r="G12" s="441">
        <f t="shared" si="3"/>
        <v>0</v>
      </c>
      <c r="H12" s="443">
        <f t="shared" si="3"/>
        <v>2083333.3333333333</v>
      </c>
      <c r="I12" s="44">
        <f t="shared" si="1"/>
        <v>-2083333.3333333333</v>
      </c>
      <c r="J12" s="330">
        <f t="shared" si="2"/>
        <v>-1</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f t="shared" ref="H13:H17" si="4">D13/12*2</f>
        <v>0</v>
      </c>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c r="F14" s="742"/>
      <c r="G14" s="741"/>
      <c r="H14" s="742">
        <f t="shared" si="4"/>
        <v>2083333.3333333333</v>
      </c>
      <c r="I14" s="44">
        <f t="shared" si="1"/>
        <v>-2083333.3333333333</v>
      </c>
      <c r="J14" s="330">
        <f t="shared" si="2"/>
        <v>-1</v>
      </c>
      <c r="K14" s="743">
        <f>D14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f t="shared" si="4"/>
        <v>0</v>
      </c>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f t="shared" si="4"/>
        <v>0</v>
      </c>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f t="shared" si="4"/>
        <v>0</v>
      </c>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5">SUM(C19:C22)</f>
        <v>0</v>
      </c>
      <c r="D18" s="444">
        <f t="shared" si="5"/>
        <v>23812425</v>
      </c>
      <c r="E18" s="441">
        <f t="shared" si="5"/>
        <v>0</v>
      </c>
      <c r="F18" s="443">
        <f t="shared" si="5"/>
        <v>996620.89</v>
      </c>
      <c r="G18" s="441">
        <f t="shared" si="5"/>
        <v>996620.89</v>
      </c>
      <c r="H18" s="443">
        <f t="shared" si="5"/>
        <v>3968737.5</v>
      </c>
      <c r="I18" s="44">
        <f t="shared" si="1"/>
        <v>-2972116.61</v>
      </c>
      <c r="J18" s="330">
        <f t="shared" si="2"/>
        <v>-0.74888213443191942</v>
      </c>
      <c r="K18" s="442">
        <f>SUM(K19:K22)</f>
        <v>23812425</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f t="shared" ref="H19:H22" si="6">D19/12*2</f>
        <v>0</v>
      </c>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f t="shared" si="6"/>
        <v>0</v>
      </c>
      <c r="I20" s="44">
        <f t="shared" si="1"/>
        <v>0</v>
      </c>
      <c r="J20" s="330" t="str">
        <f t="shared" si="2"/>
        <v/>
      </c>
      <c r="K20" s="743">
        <f>D20</f>
        <v>0</v>
      </c>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c r="F21" s="742">
        <v>996620.89</v>
      </c>
      <c r="G21" s="741">
        <v>996620.89</v>
      </c>
      <c r="H21" s="742">
        <f t="shared" si="6"/>
        <v>1166666.6666666667</v>
      </c>
      <c r="I21" s="44">
        <f t="shared" si="1"/>
        <v>-170045.77666666673</v>
      </c>
      <c r="J21" s="330">
        <f t="shared" si="2"/>
        <v>-0.14575352285714291</v>
      </c>
      <c r="K21" s="743">
        <f>D21</f>
        <v>7000000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c r="F22" s="742"/>
      <c r="G22" s="741"/>
      <c r="H22" s="742">
        <f t="shared" si="6"/>
        <v>2802070.8333333335</v>
      </c>
      <c r="I22" s="44">
        <f t="shared" si="1"/>
        <v>-2802070.8333333335</v>
      </c>
      <c r="J22" s="330">
        <f t="shared" si="2"/>
        <v>-1</v>
      </c>
      <c r="K22" s="743">
        <f>D22</f>
        <v>16812425</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7">SUM(C24:C28)</f>
        <v>0</v>
      </c>
      <c r="D23" s="444">
        <f t="shared" si="7"/>
        <v>0</v>
      </c>
      <c r="E23" s="441">
        <f t="shared" si="7"/>
        <v>0</v>
      </c>
      <c r="F23" s="443">
        <f t="shared" si="7"/>
        <v>0</v>
      </c>
      <c r="G23" s="441">
        <f t="shared" si="7"/>
        <v>0</v>
      </c>
      <c r="H23" s="443">
        <f t="shared" si="7"/>
        <v>0</v>
      </c>
      <c r="I23" s="44">
        <f t="shared" si="1"/>
        <v>0</v>
      </c>
      <c r="J23" s="330" t="str">
        <f t="shared" si="2"/>
        <v/>
      </c>
      <c r="K23" s="442">
        <f>SUM(K24:K28)</f>
        <v>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f t="shared" ref="H24:H28" si="8">D24/12*2</f>
        <v>0</v>
      </c>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c r="F25" s="742"/>
      <c r="G25" s="741"/>
      <c r="H25" s="742">
        <f t="shared" si="8"/>
        <v>0</v>
      </c>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f t="shared" si="8"/>
        <v>0</v>
      </c>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f t="shared" si="8"/>
        <v>0</v>
      </c>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f t="shared" si="8"/>
        <v>0</v>
      </c>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9">SUM(C30:C34)</f>
        <v>0</v>
      </c>
      <c r="D29" s="444">
        <f t="shared" si="9"/>
        <v>168455000</v>
      </c>
      <c r="E29" s="441">
        <f t="shared" si="9"/>
        <v>0</v>
      </c>
      <c r="F29" s="443">
        <f t="shared" si="9"/>
        <v>0</v>
      </c>
      <c r="G29" s="441">
        <f t="shared" si="9"/>
        <v>0</v>
      </c>
      <c r="H29" s="443">
        <f t="shared" si="9"/>
        <v>28075833.333333336</v>
      </c>
      <c r="I29" s="44">
        <f t="shared" si="1"/>
        <v>-28075833.333333336</v>
      </c>
      <c r="J29" s="330">
        <f t="shared" si="2"/>
        <v>-1</v>
      </c>
      <c r="K29" s="442">
        <f>SUM(K30:K34)</f>
        <v>168455000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c r="F30" s="742"/>
      <c r="G30" s="741"/>
      <c r="H30" s="742">
        <f t="shared" ref="H30:H34" si="10">D30/12*2</f>
        <v>0</v>
      </c>
      <c r="I30" s="44">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f t="shared" si="10"/>
        <v>0</v>
      </c>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c r="F32" s="742"/>
      <c r="G32" s="741"/>
      <c r="H32" s="742">
        <f t="shared" si="10"/>
        <v>9283333.333333334</v>
      </c>
      <c r="I32" s="44">
        <f t="shared" si="1"/>
        <v>-9283333.333333334</v>
      </c>
      <c r="J32" s="330">
        <f t="shared" si="2"/>
        <v>-1</v>
      </c>
      <c r="K32" s="743">
        <f>D32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c r="G33" s="741"/>
      <c r="H33" s="742">
        <f t="shared" si="10"/>
        <v>18792500</v>
      </c>
      <c r="I33" s="44">
        <f t="shared" si="1"/>
        <v>-18792500</v>
      </c>
      <c r="J33" s="330">
        <f t="shared" si="2"/>
        <v>-1</v>
      </c>
      <c r="K33" s="743">
        <f>D33</f>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f t="shared" si="10"/>
        <v>0</v>
      </c>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1">SUM(C36:C45)</f>
        <v>0</v>
      </c>
      <c r="D35" s="444">
        <f t="shared" si="11"/>
        <v>300600156</v>
      </c>
      <c r="E35" s="441">
        <f t="shared" si="11"/>
        <v>0</v>
      </c>
      <c r="F35" s="443">
        <f t="shared" si="11"/>
        <v>5418128.1500000004</v>
      </c>
      <c r="G35" s="441">
        <f t="shared" si="11"/>
        <v>5418128.1500000004</v>
      </c>
      <c r="H35" s="443">
        <f t="shared" si="11"/>
        <v>50100026</v>
      </c>
      <c r="I35" s="44">
        <f t="shared" si="1"/>
        <v>-44681897.850000001</v>
      </c>
      <c r="J35" s="330">
        <f t="shared" si="2"/>
        <v>-0.89185378566470208</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c r="F36" s="742"/>
      <c r="G36" s="741"/>
      <c r="H36" s="742">
        <f t="shared" ref="H36:H40" si="12">D36/12*2</f>
        <v>1702000</v>
      </c>
      <c r="I36" s="44">
        <f t="shared" si="1"/>
        <v>-1702000</v>
      </c>
      <c r="J36" s="330">
        <f t="shared" si="2"/>
        <v>-1</v>
      </c>
      <c r="K36" s="743">
        <f>D36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c r="F37" s="742"/>
      <c r="G37" s="741"/>
      <c r="H37" s="742">
        <f t="shared" si="12"/>
        <v>5833333.333333333</v>
      </c>
      <c r="I37" s="44">
        <f t="shared" si="1"/>
        <v>-5833333.333333333</v>
      </c>
      <c r="J37" s="330">
        <f t="shared" si="2"/>
        <v>-1</v>
      </c>
      <c r="K37" s="743">
        <f>D37</f>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c r="F38" s="742"/>
      <c r="G38" s="741"/>
      <c r="H38" s="742">
        <f t="shared" si="12"/>
        <v>42564692.666666664</v>
      </c>
      <c r="I38" s="44">
        <f t="shared" si="1"/>
        <v>-42564692.666666664</v>
      </c>
      <c r="J38" s="330">
        <f t="shared" si="2"/>
        <v>-1</v>
      </c>
      <c r="K38" s="743">
        <f>D38</f>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v>5418128.1500000004</v>
      </c>
      <c r="G39" s="741">
        <v>5418128.1500000004</v>
      </c>
      <c r="H39" s="742">
        <f t="shared" si="12"/>
        <v>0</v>
      </c>
      <c r="I39" s="44">
        <f t="shared" si="1"/>
        <v>5418128.1500000004</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f t="shared" si="12"/>
        <v>0</v>
      </c>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3">G44-H44</f>
        <v>0</v>
      </c>
      <c r="J44" s="330" t="str">
        <f t="shared" ref="J44:J107" si="14">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3"/>
        <v>0</v>
      </c>
      <c r="J45" s="330" t="str">
        <f t="shared" si="14"/>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5">SUM(C47:C56)</f>
        <v>0</v>
      </c>
      <c r="D46" s="444">
        <f t="shared" si="15"/>
        <v>0</v>
      </c>
      <c r="E46" s="441">
        <f t="shared" si="15"/>
        <v>0</v>
      </c>
      <c r="F46" s="443">
        <f t="shared" si="15"/>
        <v>0</v>
      </c>
      <c r="G46" s="441">
        <f t="shared" si="15"/>
        <v>0</v>
      </c>
      <c r="H46" s="443">
        <f t="shared" si="15"/>
        <v>0</v>
      </c>
      <c r="I46" s="44">
        <f t="shared" si="13"/>
        <v>0</v>
      </c>
      <c r="J46" s="330" t="str">
        <f t="shared" si="14"/>
        <v/>
      </c>
      <c r="K46" s="442">
        <f t="shared" si="15"/>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3"/>
        <v>0</v>
      </c>
      <c r="J47" s="330" t="str">
        <f t="shared" si="14"/>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3"/>
        <v>0</v>
      </c>
      <c r="J48" s="330" t="str">
        <f t="shared" si="14"/>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3"/>
        <v>0</v>
      </c>
      <c r="J49" s="330" t="str">
        <f t="shared" si="14"/>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3"/>
        <v>0</v>
      </c>
      <c r="J50" s="330" t="str">
        <f t="shared" si="14"/>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3"/>
        <v>0</v>
      </c>
      <c r="J51" s="330" t="str">
        <f t="shared" si="14"/>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3"/>
        <v>0</v>
      </c>
      <c r="J52" s="330" t="str">
        <f t="shared" si="14"/>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3"/>
        <v>0</v>
      </c>
      <c r="J53" s="330" t="str">
        <f t="shared" si="14"/>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3"/>
        <v>0</v>
      </c>
      <c r="J54" s="330" t="str">
        <f t="shared" si="14"/>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3"/>
        <v>0</v>
      </c>
      <c r="J55" s="330" t="str">
        <f t="shared" si="14"/>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3"/>
        <v>0</v>
      </c>
      <c r="J56" s="330" t="str">
        <f t="shared" si="14"/>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6">SUM(D58:D67)</f>
        <v>0</v>
      </c>
      <c r="E57" s="441">
        <f t="shared" si="16"/>
        <v>0</v>
      </c>
      <c r="F57" s="443">
        <f t="shared" si="16"/>
        <v>0</v>
      </c>
      <c r="G57" s="441">
        <f t="shared" si="16"/>
        <v>0</v>
      </c>
      <c r="H57" s="443">
        <f t="shared" si="16"/>
        <v>0</v>
      </c>
      <c r="I57" s="44">
        <f t="shared" si="13"/>
        <v>0</v>
      </c>
      <c r="J57" s="330" t="str">
        <f t="shared" si="14"/>
        <v/>
      </c>
      <c r="K57" s="442">
        <f t="shared" si="16"/>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3"/>
        <v>0</v>
      </c>
      <c r="J58" s="330" t="str">
        <f t="shared" si="14"/>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3"/>
        <v>0</v>
      </c>
      <c r="J59" s="330" t="str">
        <f t="shared" si="14"/>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3"/>
        <v>0</v>
      </c>
      <c r="J60" s="330" t="str">
        <f t="shared" si="14"/>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3"/>
        <v>0</v>
      </c>
      <c r="J61" s="330" t="str">
        <f t="shared" si="14"/>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3"/>
        <v>0</v>
      </c>
      <c r="J62" s="330" t="str">
        <f t="shared" si="14"/>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3"/>
        <v>0</v>
      </c>
      <c r="J63" s="330" t="str">
        <f t="shared" si="14"/>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3"/>
        <v>0</v>
      </c>
      <c r="J64" s="330" t="str">
        <f t="shared" si="14"/>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3"/>
        <v>0</v>
      </c>
      <c r="J65" s="330" t="str">
        <f t="shared" si="14"/>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3"/>
        <v>0</v>
      </c>
      <c r="J66" s="330" t="str">
        <f t="shared" si="14"/>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3"/>
        <v>0</v>
      </c>
      <c r="J67" s="330" t="str">
        <f t="shared" si="14"/>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7">SUM(D69:D78)</f>
        <v>0</v>
      </c>
      <c r="E68" s="441">
        <f t="shared" si="17"/>
        <v>0</v>
      </c>
      <c r="F68" s="443">
        <f t="shared" si="17"/>
        <v>0</v>
      </c>
      <c r="G68" s="441">
        <f t="shared" si="17"/>
        <v>0</v>
      </c>
      <c r="H68" s="443">
        <f t="shared" si="17"/>
        <v>0</v>
      </c>
      <c r="I68" s="44">
        <f t="shared" si="13"/>
        <v>0</v>
      </c>
      <c r="J68" s="330" t="str">
        <f t="shared" si="14"/>
        <v/>
      </c>
      <c r="K68" s="442">
        <f t="shared" si="17"/>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3"/>
        <v>0</v>
      </c>
      <c r="J69" s="330" t="str">
        <f t="shared" si="14"/>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3"/>
        <v>0</v>
      </c>
      <c r="J70" s="330" t="str">
        <f t="shared" si="14"/>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3"/>
        <v>0</v>
      </c>
      <c r="J71" s="330" t="str">
        <f t="shared" si="14"/>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3"/>
        <v>0</v>
      </c>
      <c r="J72" s="330" t="str">
        <f t="shared" si="14"/>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3"/>
        <v>0</v>
      </c>
      <c r="J73" s="330" t="str">
        <f t="shared" si="14"/>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3"/>
        <v>0</v>
      </c>
      <c r="J74" s="330" t="str">
        <f t="shared" si="14"/>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3"/>
        <v>0</v>
      </c>
      <c r="J75" s="330" t="str">
        <f t="shared" si="14"/>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3"/>
        <v>0</v>
      </c>
      <c r="J76" s="330" t="str">
        <f t="shared" si="14"/>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3"/>
        <v>0</v>
      </c>
      <c r="J77" s="330" t="str">
        <f t="shared" si="14"/>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3"/>
        <v>0</v>
      </c>
      <c r="J78" s="330" t="str">
        <f t="shared" si="14"/>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8">SUM(D80:D89)</f>
        <v>0</v>
      </c>
      <c r="E79" s="441">
        <f t="shared" si="18"/>
        <v>0</v>
      </c>
      <c r="F79" s="443">
        <f t="shared" si="18"/>
        <v>0</v>
      </c>
      <c r="G79" s="441">
        <f t="shared" si="18"/>
        <v>0</v>
      </c>
      <c r="H79" s="443">
        <f t="shared" si="18"/>
        <v>0</v>
      </c>
      <c r="I79" s="44">
        <f t="shared" si="13"/>
        <v>0</v>
      </c>
      <c r="J79" s="330" t="str">
        <f t="shared" si="14"/>
        <v/>
      </c>
      <c r="K79" s="442">
        <f t="shared" si="18"/>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3"/>
        <v>0</v>
      </c>
      <c r="J80" s="330" t="str">
        <f t="shared" si="14"/>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3"/>
        <v>0</v>
      </c>
      <c r="J81" s="330" t="str">
        <f t="shared" si="14"/>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3"/>
        <v>0</v>
      </c>
      <c r="J82" s="330" t="str">
        <f t="shared" si="14"/>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3"/>
        <v>0</v>
      </c>
      <c r="J83" s="330" t="str">
        <f t="shared" si="14"/>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3"/>
        <v>0</v>
      </c>
      <c r="J84" s="330" t="str">
        <f t="shared" si="14"/>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3"/>
        <v>0</v>
      </c>
      <c r="J85" s="330" t="str">
        <f t="shared" si="14"/>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3"/>
        <v>0</v>
      </c>
      <c r="J86" s="330" t="str">
        <f t="shared" si="14"/>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3"/>
        <v>0</v>
      </c>
      <c r="J87" s="330" t="str">
        <f t="shared" si="14"/>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3"/>
        <v>0</v>
      </c>
      <c r="J88" s="330" t="str">
        <f t="shared" si="14"/>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3"/>
        <v>0</v>
      </c>
      <c r="J89" s="330" t="str">
        <f t="shared" si="14"/>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9">SUM(D91:D100)</f>
        <v>0</v>
      </c>
      <c r="E90" s="441">
        <f t="shared" si="19"/>
        <v>0</v>
      </c>
      <c r="F90" s="443">
        <f t="shared" si="19"/>
        <v>0</v>
      </c>
      <c r="G90" s="441">
        <f t="shared" si="19"/>
        <v>0</v>
      </c>
      <c r="H90" s="443">
        <f t="shared" si="19"/>
        <v>0</v>
      </c>
      <c r="I90" s="44">
        <f t="shared" si="13"/>
        <v>0</v>
      </c>
      <c r="J90" s="330" t="str">
        <f t="shared" si="14"/>
        <v/>
      </c>
      <c r="K90" s="442">
        <f t="shared" si="19"/>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3"/>
        <v>0</v>
      </c>
      <c r="J91" s="330" t="str">
        <f t="shared" si="14"/>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3"/>
        <v>0</v>
      </c>
      <c r="J92" s="330" t="str">
        <f t="shared" si="14"/>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3"/>
        <v>0</v>
      </c>
      <c r="J93" s="330" t="str">
        <f t="shared" si="14"/>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3"/>
        <v>0</v>
      </c>
      <c r="J94" s="330" t="str">
        <f t="shared" si="14"/>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3"/>
        <v>0</v>
      </c>
      <c r="J95" s="330" t="str">
        <f t="shared" si="14"/>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3"/>
        <v>0</v>
      </c>
      <c r="J96" s="330" t="str">
        <f t="shared" si="14"/>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3"/>
        <v>0</v>
      </c>
      <c r="J97" s="330" t="str">
        <f t="shared" si="14"/>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3"/>
        <v>0</v>
      </c>
      <c r="J98" s="330" t="str">
        <f t="shared" si="14"/>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3"/>
        <v>0</v>
      </c>
      <c r="J99" s="330" t="str">
        <f t="shared" si="14"/>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3"/>
        <v>0</v>
      </c>
      <c r="J100" s="330" t="str">
        <f t="shared" si="14"/>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0">SUM(D102:D111)</f>
        <v>0</v>
      </c>
      <c r="E101" s="441">
        <f t="shared" si="20"/>
        <v>0</v>
      </c>
      <c r="F101" s="443">
        <f t="shared" si="20"/>
        <v>0</v>
      </c>
      <c r="G101" s="441">
        <f t="shared" si="20"/>
        <v>0</v>
      </c>
      <c r="H101" s="443">
        <f t="shared" si="20"/>
        <v>0</v>
      </c>
      <c r="I101" s="44">
        <f t="shared" si="13"/>
        <v>0</v>
      </c>
      <c r="J101" s="330" t="str">
        <f t="shared" si="14"/>
        <v/>
      </c>
      <c r="K101" s="442">
        <f t="shared" si="20"/>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3"/>
        <v>0</v>
      </c>
      <c r="J102" s="330" t="str">
        <f t="shared" si="14"/>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3"/>
        <v>0</v>
      </c>
      <c r="J103" s="330" t="str">
        <f t="shared" si="14"/>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3"/>
        <v>0</v>
      </c>
      <c r="J104" s="330" t="str">
        <f t="shared" si="14"/>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3"/>
        <v>0</v>
      </c>
      <c r="J105" s="330" t="str">
        <f t="shared" si="14"/>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3"/>
        <v>0</v>
      </c>
      <c r="J106" s="330" t="str">
        <f t="shared" si="14"/>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3"/>
        <v>0</v>
      </c>
      <c r="J107" s="330" t="str">
        <f t="shared" si="14"/>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1">G108-H108</f>
        <v>0</v>
      </c>
      <c r="J108" s="330" t="str">
        <f t="shared" ref="J108:J172" si="22">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1"/>
        <v>0</v>
      </c>
      <c r="J109" s="330" t="str">
        <f t="shared" si="22"/>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1"/>
        <v>0</v>
      </c>
      <c r="J110" s="330" t="str">
        <f t="shared" si="22"/>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1"/>
        <v>0</v>
      </c>
      <c r="J111" s="330" t="str">
        <f t="shared" si="22"/>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3">SUM(D113:D122)</f>
        <v>0</v>
      </c>
      <c r="E112" s="441">
        <f t="shared" si="23"/>
        <v>0</v>
      </c>
      <c r="F112" s="443">
        <f t="shared" si="23"/>
        <v>0</v>
      </c>
      <c r="G112" s="441">
        <f t="shared" si="23"/>
        <v>0</v>
      </c>
      <c r="H112" s="443">
        <f t="shared" si="23"/>
        <v>0</v>
      </c>
      <c r="I112" s="44">
        <f t="shared" si="21"/>
        <v>0</v>
      </c>
      <c r="J112" s="330" t="str">
        <f t="shared" si="22"/>
        <v/>
      </c>
      <c r="K112" s="442">
        <f t="shared" si="23"/>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1"/>
        <v>0</v>
      </c>
      <c r="J113" s="330" t="str">
        <f t="shared" si="22"/>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1"/>
        <v>0</v>
      </c>
      <c r="J114" s="330" t="str">
        <f t="shared" si="22"/>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1"/>
        <v>0</v>
      </c>
      <c r="J115" s="330" t="str">
        <f t="shared" si="22"/>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1"/>
        <v>0</v>
      </c>
      <c r="J116" s="330" t="str">
        <f t="shared" si="22"/>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1"/>
        <v>0</v>
      </c>
      <c r="J117" s="330" t="str">
        <f t="shared" si="22"/>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1"/>
        <v>0</v>
      </c>
      <c r="J118" s="330" t="str">
        <f t="shared" si="22"/>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1"/>
        <v>0</v>
      </c>
      <c r="J119" s="330" t="str">
        <f t="shared" si="22"/>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1"/>
        <v>0</v>
      </c>
      <c r="J120" s="330" t="str">
        <f t="shared" si="22"/>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1"/>
        <v>0</v>
      </c>
      <c r="J121" s="330" t="str">
        <f t="shared" si="22"/>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1"/>
        <v>0</v>
      </c>
      <c r="J122" s="330" t="str">
        <f t="shared" si="22"/>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4">SUM(D124:D133)</f>
        <v>0</v>
      </c>
      <c r="E123" s="441">
        <f t="shared" si="24"/>
        <v>0</v>
      </c>
      <c r="F123" s="443">
        <f t="shared" si="24"/>
        <v>0</v>
      </c>
      <c r="G123" s="441">
        <f t="shared" si="24"/>
        <v>0</v>
      </c>
      <c r="H123" s="443">
        <f t="shared" si="24"/>
        <v>0</v>
      </c>
      <c r="I123" s="44">
        <f t="shared" si="21"/>
        <v>0</v>
      </c>
      <c r="J123" s="330" t="str">
        <f t="shared" si="22"/>
        <v/>
      </c>
      <c r="K123" s="442">
        <f t="shared" si="24"/>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1"/>
        <v>0</v>
      </c>
      <c r="J124" s="330" t="str">
        <f t="shared" si="22"/>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1"/>
        <v>0</v>
      </c>
      <c r="J125" s="330" t="str">
        <f t="shared" si="22"/>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1"/>
        <v>0</v>
      </c>
      <c r="J126" s="330" t="str">
        <f t="shared" si="22"/>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1"/>
        <v>0</v>
      </c>
      <c r="J127" s="330" t="str">
        <f t="shared" si="22"/>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1"/>
        <v>0</v>
      </c>
      <c r="J128" s="330" t="str">
        <f t="shared" si="22"/>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1"/>
        <v>0</v>
      </c>
      <c r="J129" s="330" t="str">
        <f t="shared" si="22"/>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1"/>
        <v>0</v>
      </c>
      <c r="J130" s="330" t="str">
        <f t="shared" si="22"/>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1"/>
        <v>0</v>
      </c>
      <c r="J131" s="330" t="str">
        <f t="shared" si="22"/>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1"/>
        <v>0</v>
      </c>
      <c r="J132" s="330" t="str">
        <f t="shared" si="22"/>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1"/>
        <v>0</v>
      </c>
      <c r="J133" s="330" t="str">
        <f t="shared" si="22"/>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5">SUM(D135:D144)</f>
        <v>0</v>
      </c>
      <c r="E134" s="441">
        <f t="shared" si="25"/>
        <v>0</v>
      </c>
      <c r="F134" s="443">
        <f t="shared" si="25"/>
        <v>0</v>
      </c>
      <c r="G134" s="441">
        <f t="shared" si="25"/>
        <v>0</v>
      </c>
      <c r="H134" s="443">
        <f t="shared" si="25"/>
        <v>0</v>
      </c>
      <c r="I134" s="44">
        <f t="shared" si="21"/>
        <v>0</v>
      </c>
      <c r="J134" s="330" t="str">
        <f t="shared" si="22"/>
        <v/>
      </c>
      <c r="K134" s="442">
        <f t="shared" si="25"/>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1"/>
        <v>0</v>
      </c>
      <c r="J135" s="330" t="str">
        <f t="shared" si="22"/>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1"/>
        <v>0</v>
      </c>
      <c r="J136" s="330" t="str">
        <f t="shared" si="22"/>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1"/>
        <v>0</v>
      </c>
      <c r="J137" s="330" t="str">
        <f t="shared" si="22"/>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1"/>
        <v>0</v>
      </c>
      <c r="J138" s="330" t="str">
        <f t="shared" si="22"/>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1"/>
        <v>0</v>
      </c>
      <c r="J139" s="330" t="str">
        <f t="shared" si="22"/>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1"/>
        <v>0</v>
      </c>
      <c r="J140" s="330" t="str">
        <f t="shared" si="22"/>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1"/>
        <v>0</v>
      </c>
      <c r="J141" s="330" t="str">
        <f t="shared" si="22"/>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1"/>
        <v>0</v>
      </c>
      <c r="J142" s="330" t="str">
        <f t="shared" si="22"/>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1"/>
        <v>0</v>
      </c>
      <c r="J143" s="330" t="str">
        <f t="shared" si="22"/>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1"/>
        <v>0</v>
      </c>
      <c r="J144" s="330" t="str">
        <f t="shared" si="22"/>
        <v/>
      </c>
      <c r="K144" s="743"/>
      <c r="L144" s="452">
        <f t="shared" ref="L144:W144" si="26">SUM(L52:L55)</f>
        <v>0</v>
      </c>
      <c r="M144" s="453">
        <f t="shared" si="26"/>
        <v>0</v>
      </c>
      <c r="N144" s="453">
        <f t="shared" si="26"/>
        <v>0</v>
      </c>
      <c r="O144" s="453">
        <f t="shared" si="26"/>
        <v>0</v>
      </c>
      <c r="P144" s="453">
        <f t="shared" si="26"/>
        <v>0</v>
      </c>
      <c r="Q144" s="453">
        <f t="shared" si="26"/>
        <v>0</v>
      </c>
      <c r="R144" s="453">
        <f t="shared" si="26"/>
        <v>0</v>
      </c>
      <c r="S144" s="453">
        <f t="shared" si="26"/>
        <v>0</v>
      </c>
      <c r="T144" s="453">
        <f t="shared" si="26"/>
        <v>0</v>
      </c>
      <c r="U144" s="453">
        <f t="shared" si="26"/>
        <v>0</v>
      </c>
      <c r="V144" s="453">
        <f t="shared" si="26"/>
        <v>0</v>
      </c>
      <c r="W144" s="453">
        <f t="shared" si="26"/>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0</v>
      </c>
      <c r="F145" s="450">
        <f>F7+F12+F18+F23+F29+F35+F46+F57+F68+F79+F90+F101+F112+F123+F134</f>
        <v>6414749.04</v>
      </c>
      <c r="G145" s="448">
        <f>G7+G12+G18+G23+G29+G35+G46+G57+G68+G79+G90+G101+G112+G123+G134</f>
        <v>6414749.04</v>
      </c>
      <c r="H145" s="450">
        <f>H7+H12+H18+H23+H29+H35+H46+H57+H68+H79+H90+H101+H112+H123+H134</f>
        <v>84861263.5</v>
      </c>
      <c r="I145" s="514">
        <f t="shared" si="21"/>
        <v>-78446514.459999993</v>
      </c>
      <c r="J145" s="515">
        <f t="shared" si="22"/>
        <v>-0.92440898502530533</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1"/>
        <v>0</v>
      </c>
      <c r="J146" s="133" t="str">
        <f t="shared" si="22"/>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1"/>
        <v>0</v>
      </c>
      <c r="J148" s="330" t="str">
        <f t="shared" si="22"/>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27">SUM(C150:C159)</f>
        <v>0</v>
      </c>
      <c r="D149" s="471">
        <f t="shared" si="27"/>
        <v>0</v>
      </c>
      <c r="E149" s="468">
        <f t="shared" si="27"/>
        <v>0</v>
      </c>
      <c r="F149" s="470">
        <f t="shared" si="27"/>
        <v>1135600</v>
      </c>
      <c r="G149" s="468">
        <f t="shared" si="27"/>
        <v>1135600</v>
      </c>
      <c r="H149" s="470">
        <f t="shared" si="27"/>
        <v>0</v>
      </c>
      <c r="I149" s="44">
        <f t="shared" si="21"/>
        <v>1135600</v>
      </c>
      <c r="J149" s="330" t="e">
        <f t="shared" si="22"/>
        <v>#DIV/0!</v>
      </c>
      <c r="K149" s="469">
        <f t="shared" si="27"/>
        <v>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1"/>
        <v>0</v>
      </c>
      <c r="J150" s="330" t="str">
        <f t="shared" si="22"/>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c r="F151" s="746">
        <v>1135600</v>
      </c>
      <c r="G151" s="733">
        <v>1135600</v>
      </c>
      <c r="H151" s="746"/>
      <c r="I151" s="44">
        <f t="shared" si="21"/>
        <v>1135600</v>
      </c>
      <c r="J151" s="330" t="e">
        <f t="shared" si="22"/>
        <v>#DIV/0!</v>
      </c>
      <c r="K151" s="747"/>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c r="F152" s="746"/>
      <c r="G152" s="733"/>
      <c r="H152" s="746"/>
      <c r="I152" s="44">
        <f t="shared" si="21"/>
        <v>0</v>
      </c>
      <c r="J152" s="330" t="str">
        <f t="shared" si="22"/>
        <v/>
      </c>
      <c r="K152" s="747"/>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1"/>
        <v>0</v>
      </c>
      <c r="J153" s="330" t="str">
        <f t="shared" si="22"/>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1"/>
        <v>0</v>
      </c>
      <c r="J154" s="330" t="str">
        <f t="shared" si="22"/>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1"/>
        <v>0</v>
      </c>
      <c r="J155" s="330" t="str">
        <f t="shared" si="22"/>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1"/>
        <v>0</v>
      </c>
      <c r="J156" s="330" t="str">
        <f t="shared" si="22"/>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1"/>
        <v>0</v>
      </c>
      <c r="J157" s="330" t="str">
        <f t="shared" si="22"/>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1"/>
        <v>0</v>
      </c>
      <c r="J158" s="330" t="str">
        <f t="shared" si="22"/>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1"/>
        <v>0</v>
      </c>
      <c r="J159" s="330" t="str">
        <f t="shared" si="22"/>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28">SUM(E161:E170)</f>
        <v>0</v>
      </c>
      <c r="F160" s="443">
        <f t="shared" si="28"/>
        <v>0</v>
      </c>
      <c r="G160" s="441">
        <f t="shared" si="28"/>
        <v>-97000</v>
      </c>
      <c r="H160" s="443">
        <f t="shared" si="28"/>
        <v>2500000</v>
      </c>
      <c r="I160" s="44">
        <f t="shared" si="21"/>
        <v>-2597000</v>
      </c>
      <c r="J160" s="330">
        <f t="shared" si="22"/>
        <v>-1.0387999999999999</v>
      </c>
      <c r="K160" s="442">
        <f t="shared" si="28"/>
        <v>15000000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c r="F161" s="746"/>
      <c r="G161" s="733"/>
      <c r="H161" s="746">
        <f>D161/12*2</f>
        <v>2500000</v>
      </c>
      <c r="I161" s="44">
        <f t="shared" si="21"/>
        <v>-2500000</v>
      </c>
      <c r="J161" s="330">
        <f t="shared" si="22"/>
        <v>-1</v>
      </c>
      <c r="K161" s="747">
        <f>D161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c r="F162" s="746"/>
      <c r="G162" s="733">
        <v>-97000</v>
      </c>
      <c r="H162" s="746"/>
      <c r="I162" s="44">
        <f t="shared" si="21"/>
        <v>-97000</v>
      </c>
      <c r="J162" s="330" t="e">
        <f t="shared" si="22"/>
        <v>#DIV/0!</v>
      </c>
      <c r="K162" s="747"/>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21"/>
        <v>0</v>
      </c>
      <c r="J163" s="330" t="str">
        <f t="shared" si="22"/>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21"/>
        <v>0</v>
      </c>
      <c r="J164" s="330" t="str">
        <f t="shared" si="22"/>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c r="F165" s="746"/>
      <c r="G165" s="733"/>
      <c r="H165" s="746"/>
      <c r="I165" s="44">
        <f t="shared" si="21"/>
        <v>0</v>
      </c>
      <c r="J165" s="330" t="str">
        <f t="shared" si="22"/>
        <v/>
      </c>
      <c r="K165" s="747"/>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1"/>
        <v>0</v>
      </c>
      <c r="J166" s="330" t="str">
        <f t="shared" si="22"/>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1"/>
        <v>0</v>
      </c>
      <c r="J167" s="330" t="str">
        <f t="shared" si="22"/>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1"/>
        <v>0</v>
      </c>
      <c r="J168" s="330" t="str">
        <f t="shared" si="22"/>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1"/>
        <v>0</v>
      </c>
      <c r="J169" s="330" t="str">
        <f t="shared" si="22"/>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1"/>
        <v>0</v>
      </c>
      <c r="J170" s="330" t="str">
        <f t="shared" si="22"/>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9">SUM(C172:C181)</f>
        <v>0</v>
      </c>
      <c r="D171" s="444">
        <f t="shared" si="29"/>
        <v>13700000</v>
      </c>
      <c r="E171" s="441">
        <f t="shared" si="29"/>
        <v>0</v>
      </c>
      <c r="F171" s="443">
        <f t="shared" si="29"/>
        <v>1532007.65</v>
      </c>
      <c r="G171" s="441">
        <f t="shared" si="29"/>
        <v>680534.5299999998</v>
      </c>
      <c r="H171" s="443">
        <f t="shared" si="29"/>
        <v>2283333.3333333335</v>
      </c>
      <c r="I171" s="44">
        <f t="shared" si="21"/>
        <v>-1602798.8033333337</v>
      </c>
      <c r="J171" s="330">
        <f t="shared" si="22"/>
        <v>-0.70195568029197086</v>
      </c>
      <c r="K171" s="442">
        <f t="shared" si="29"/>
        <v>13700000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f t="shared" ref="H172:H175" si="30">D172/12*2</f>
        <v>1666666.6666666667</v>
      </c>
      <c r="I172" s="44">
        <f t="shared" si="21"/>
        <v>-1666666.6666666667</v>
      </c>
      <c r="J172" s="330">
        <f t="shared" si="22"/>
        <v>-1</v>
      </c>
      <c r="K172" s="747">
        <f>D172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f t="shared" si="30"/>
        <v>0</v>
      </c>
      <c r="I173" s="44">
        <f t="shared" ref="I173:I236" si="31">G173-H173</f>
        <v>0</v>
      </c>
      <c r="J173" s="330" t="str">
        <f t="shared" ref="J173:J236" si="32">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c r="F174" s="472"/>
      <c r="G174" s="384">
        <v>-851473.12000000011</v>
      </c>
      <c r="H174" s="472">
        <f t="shared" si="30"/>
        <v>200000</v>
      </c>
      <c r="I174" s="44">
        <f t="shared" si="31"/>
        <v>-1051473.1200000001</v>
      </c>
      <c r="J174" s="330">
        <f t="shared" si="32"/>
        <v>-5.2573656000000009</v>
      </c>
      <c r="K174" s="395">
        <f>D174</f>
        <v>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c r="F175" s="472">
        <v>1532007.65</v>
      </c>
      <c r="G175" s="384">
        <v>1532007.65</v>
      </c>
      <c r="H175" s="472">
        <f t="shared" si="30"/>
        <v>416666.66666666669</v>
      </c>
      <c r="I175" s="44">
        <f t="shared" si="31"/>
        <v>1115340.9833333332</v>
      </c>
      <c r="J175" s="330">
        <f t="shared" si="32"/>
        <v>2.6768183599999995</v>
      </c>
      <c r="K175" s="395">
        <f>D175</f>
        <v>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1"/>
        <v>0</v>
      </c>
      <c r="J176" s="330" t="str">
        <f t="shared" si="32"/>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1"/>
        <v>0</v>
      </c>
      <c r="J177" s="330" t="str">
        <f t="shared" si="32"/>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1"/>
        <v>0</v>
      </c>
      <c r="J178" s="330" t="str">
        <f t="shared" si="32"/>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1"/>
        <v>0</v>
      </c>
      <c r="J179" s="330" t="str">
        <f t="shared" si="32"/>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1"/>
        <v>0</v>
      </c>
      <c r="J180" s="330" t="str">
        <f t="shared" si="32"/>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1"/>
        <v>0</v>
      </c>
      <c r="J181" s="330" t="str">
        <f t="shared" si="32"/>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3">SUM(C183:C192)</f>
        <v>0</v>
      </c>
      <c r="D182" s="444">
        <f t="shared" si="33"/>
        <v>0</v>
      </c>
      <c r="E182" s="441">
        <f t="shared" si="33"/>
        <v>0</v>
      </c>
      <c r="F182" s="443">
        <f t="shared" si="33"/>
        <v>0</v>
      </c>
      <c r="G182" s="441">
        <f t="shared" si="33"/>
        <v>0</v>
      </c>
      <c r="H182" s="443">
        <f t="shared" si="33"/>
        <v>0</v>
      </c>
      <c r="I182" s="44">
        <f t="shared" si="31"/>
        <v>0</v>
      </c>
      <c r="J182" s="330" t="str">
        <f t="shared" si="32"/>
        <v/>
      </c>
      <c r="K182" s="442">
        <f t="shared" si="33"/>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1"/>
        <v>0</v>
      </c>
      <c r="J183" s="330" t="str">
        <f t="shared" si="32"/>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31"/>
        <v>0</v>
      </c>
      <c r="J184" s="330" t="str">
        <f t="shared" si="32"/>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1"/>
        <v>0</v>
      </c>
      <c r="J185" s="330" t="str">
        <f t="shared" si="32"/>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1"/>
        <v>0</v>
      </c>
      <c r="J186" s="330" t="str">
        <f t="shared" si="32"/>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1"/>
        <v>0</v>
      </c>
      <c r="J187" s="330" t="str">
        <f t="shared" si="32"/>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1"/>
        <v>0</v>
      </c>
      <c r="J188" s="330" t="str">
        <f t="shared" si="32"/>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1"/>
        <v>0</v>
      </c>
      <c r="J189" s="330" t="str">
        <f t="shared" si="32"/>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1"/>
        <v>0</v>
      </c>
      <c r="J190" s="330" t="str">
        <f t="shared" si="32"/>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1"/>
        <v>0</v>
      </c>
      <c r="J191" s="330" t="str">
        <f t="shared" si="32"/>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1"/>
        <v>0</v>
      </c>
      <c r="J192" s="330" t="str">
        <f t="shared" si="32"/>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4">SUM(C194:C203)</f>
        <v>0</v>
      </c>
      <c r="D193" s="444">
        <f t="shared" si="34"/>
        <v>33000000</v>
      </c>
      <c r="E193" s="441">
        <f t="shared" si="34"/>
        <v>0</v>
      </c>
      <c r="F193" s="443">
        <f t="shared" si="34"/>
        <v>19211033</v>
      </c>
      <c r="G193" s="441">
        <f t="shared" si="34"/>
        <v>22178778.059999999</v>
      </c>
      <c r="H193" s="443">
        <f t="shared" si="34"/>
        <v>5500000</v>
      </c>
      <c r="I193" s="44">
        <f t="shared" si="31"/>
        <v>16678778.059999999</v>
      </c>
      <c r="J193" s="330">
        <f t="shared" si="32"/>
        <v>3.0325051018181814</v>
      </c>
      <c r="K193" s="442">
        <f t="shared" si="34"/>
        <v>33000000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c r="F194" s="472"/>
      <c r="G194" s="384"/>
      <c r="H194" s="472">
        <f t="shared" ref="H194:H198" si="35">D194/12*2</f>
        <v>1583333.3333333333</v>
      </c>
      <c r="I194" s="44">
        <f t="shared" si="31"/>
        <v>-1583333.3333333333</v>
      </c>
      <c r="J194" s="330">
        <f t="shared" si="32"/>
        <v>-1</v>
      </c>
      <c r="K194" s="395">
        <f>D194</f>
        <v>9500000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f t="shared" si="35"/>
        <v>0</v>
      </c>
      <c r="I195" s="44">
        <f t="shared" si="31"/>
        <v>0</v>
      </c>
      <c r="J195" s="330" t="str">
        <f t="shared" si="32"/>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c r="F196" s="472"/>
      <c r="G196" s="384">
        <v>211619.47</v>
      </c>
      <c r="H196" s="472">
        <f t="shared" si="35"/>
        <v>0</v>
      </c>
      <c r="I196" s="44">
        <f t="shared" si="31"/>
        <v>211619.47</v>
      </c>
      <c r="J196" s="330" t="e">
        <f t="shared" si="32"/>
        <v>#DIV/0!</v>
      </c>
      <c r="K196" s="395"/>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c r="F197" s="472">
        <v>19211033</v>
      </c>
      <c r="G197" s="384">
        <v>21967158.59</v>
      </c>
      <c r="H197" s="472">
        <f t="shared" si="35"/>
        <v>3916666.6666666665</v>
      </c>
      <c r="I197" s="44">
        <f t="shared" si="31"/>
        <v>18050491.923333332</v>
      </c>
      <c r="J197" s="330">
        <f t="shared" si="32"/>
        <v>4.6086362357446804</v>
      </c>
      <c r="K197" s="395">
        <f>D197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f t="shared" si="35"/>
        <v>0</v>
      </c>
      <c r="I198" s="44">
        <f t="shared" si="31"/>
        <v>0</v>
      </c>
      <c r="J198" s="330" t="str">
        <f t="shared" si="32"/>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1"/>
        <v>0</v>
      </c>
      <c r="J199" s="330" t="str">
        <f t="shared" si="32"/>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1"/>
        <v>0</v>
      </c>
      <c r="J200" s="330" t="str">
        <f t="shared" si="32"/>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1"/>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1"/>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1"/>
        <v>0</v>
      </c>
      <c r="J203" s="330" t="str">
        <f t="shared" si="32"/>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6">SUM(C205:C214)</f>
        <v>0</v>
      </c>
      <c r="D204" s="444">
        <f t="shared" si="36"/>
        <v>10024000</v>
      </c>
      <c r="E204" s="441">
        <f t="shared" si="36"/>
        <v>0</v>
      </c>
      <c r="F204" s="443">
        <f t="shared" si="36"/>
        <v>0</v>
      </c>
      <c r="G204" s="441">
        <f t="shared" si="36"/>
        <v>-1082623.3999999999</v>
      </c>
      <c r="H204" s="443">
        <f t="shared" si="36"/>
        <v>1670666.6666666667</v>
      </c>
      <c r="I204" s="44">
        <f t="shared" si="31"/>
        <v>-2753290.0666666664</v>
      </c>
      <c r="J204" s="330">
        <f t="shared" si="32"/>
        <v>-1.6480187948922584</v>
      </c>
      <c r="K204" s="442">
        <f t="shared" si="36"/>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c r="F205" s="472"/>
      <c r="G205" s="384">
        <v>-1082623.3999999999</v>
      </c>
      <c r="H205" s="472">
        <f t="shared" ref="H205:H209" si="37">D205/12*2</f>
        <v>129000</v>
      </c>
      <c r="I205" s="44">
        <f t="shared" si="31"/>
        <v>-1211623.3999999999</v>
      </c>
      <c r="J205" s="330">
        <f t="shared" si="32"/>
        <v>-9.3924294573643401</v>
      </c>
      <c r="K205" s="395">
        <f>D205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c r="G206" s="384"/>
      <c r="H206" s="472">
        <f t="shared" si="37"/>
        <v>416666.66666666669</v>
      </c>
      <c r="I206" s="44">
        <f t="shared" si="31"/>
        <v>-416666.66666666669</v>
      </c>
      <c r="J206" s="330">
        <f t="shared" si="32"/>
        <v>-1</v>
      </c>
      <c r="K206" s="395">
        <f>D206</f>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c r="F207" s="472"/>
      <c r="G207" s="384"/>
      <c r="H207" s="472">
        <f t="shared" si="37"/>
        <v>1125000</v>
      </c>
      <c r="I207" s="44">
        <f t="shared" si="31"/>
        <v>-1125000</v>
      </c>
      <c r="J207" s="330">
        <f t="shared" si="32"/>
        <v>-1</v>
      </c>
      <c r="K207" s="395">
        <f>D207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f t="shared" si="37"/>
        <v>0</v>
      </c>
      <c r="I208" s="44">
        <f t="shared" si="31"/>
        <v>0</v>
      </c>
      <c r="J208" s="330" t="str">
        <f t="shared" si="32"/>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f t="shared" si="37"/>
        <v>0</v>
      </c>
      <c r="I209" s="44">
        <f t="shared" si="31"/>
        <v>0</v>
      </c>
      <c r="J209" s="330" t="str">
        <f t="shared" si="32"/>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1"/>
        <v>0</v>
      </c>
      <c r="J210" s="330" t="str">
        <f t="shared" si="32"/>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1"/>
        <v>0</v>
      </c>
      <c r="J211" s="330" t="str">
        <f t="shared" si="32"/>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1"/>
        <v>0</v>
      </c>
      <c r="J212" s="330" t="str">
        <f t="shared" si="32"/>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1"/>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1"/>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8">SUM(C216:C225)</f>
        <v>0</v>
      </c>
      <c r="D215" s="444">
        <f t="shared" si="38"/>
        <v>0</v>
      </c>
      <c r="E215" s="441">
        <f t="shared" si="38"/>
        <v>0</v>
      </c>
      <c r="F215" s="443">
        <f t="shared" si="38"/>
        <v>0</v>
      </c>
      <c r="G215" s="441">
        <f t="shared" si="38"/>
        <v>0</v>
      </c>
      <c r="H215" s="443">
        <f t="shared" si="38"/>
        <v>0</v>
      </c>
      <c r="I215" s="44">
        <f t="shared" si="31"/>
        <v>0</v>
      </c>
      <c r="J215" s="330" t="str">
        <f t="shared" si="32"/>
        <v/>
      </c>
      <c r="K215" s="442">
        <f t="shared" si="38"/>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1"/>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1"/>
        <v>0</v>
      </c>
      <c r="J217" s="330" t="str">
        <f t="shared" si="32"/>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1"/>
        <v>0</v>
      </c>
      <c r="J218" s="330" t="str">
        <f t="shared" si="32"/>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1"/>
        <v>0</v>
      </c>
      <c r="J219" s="330" t="str">
        <f t="shared" si="32"/>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1"/>
        <v>0</v>
      </c>
      <c r="J220" s="330" t="str">
        <f t="shared" si="32"/>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1"/>
        <v>0</v>
      </c>
      <c r="J221" s="330" t="str">
        <f t="shared" si="32"/>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1"/>
        <v>0</v>
      </c>
      <c r="J222" s="330" t="str">
        <f t="shared" si="32"/>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1"/>
        <v>0</v>
      </c>
      <c r="J223" s="330" t="str">
        <f t="shared" si="32"/>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1"/>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1"/>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9">SUM(C227:C236)</f>
        <v>0</v>
      </c>
      <c r="D226" s="444">
        <f t="shared" si="39"/>
        <v>0</v>
      </c>
      <c r="E226" s="441">
        <f t="shared" si="39"/>
        <v>0</v>
      </c>
      <c r="F226" s="443">
        <f t="shared" si="39"/>
        <v>0</v>
      </c>
      <c r="G226" s="441">
        <f t="shared" si="39"/>
        <v>0</v>
      </c>
      <c r="H226" s="443">
        <f t="shared" si="39"/>
        <v>0</v>
      </c>
      <c r="I226" s="44">
        <f t="shared" si="31"/>
        <v>0</v>
      </c>
      <c r="J226" s="330" t="str">
        <f t="shared" si="32"/>
        <v/>
      </c>
      <c r="K226" s="442">
        <f t="shared" si="39"/>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1"/>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1"/>
        <v>0</v>
      </c>
      <c r="J228" s="330" t="str">
        <f t="shared" si="32"/>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1"/>
        <v>0</v>
      </c>
      <c r="J229" s="330" t="str">
        <f t="shared" si="32"/>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1"/>
        <v>0</v>
      </c>
      <c r="J230" s="330" t="str">
        <f t="shared" si="32"/>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1"/>
        <v>0</v>
      </c>
      <c r="J231" s="330" t="str">
        <f t="shared" si="32"/>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1"/>
        <v>0</v>
      </c>
      <c r="J232" s="330" t="str">
        <f t="shared" si="32"/>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1"/>
        <v>0</v>
      </c>
      <c r="J233" s="330" t="str">
        <f t="shared" si="32"/>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1"/>
        <v>0</v>
      </c>
      <c r="J234" s="330" t="str">
        <f t="shared" si="32"/>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1"/>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1"/>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0">SUM(C238:C247)</f>
        <v>0</v>
      </c>
      <c r="D237" s="444">
        <f t="shared" si="40"/>
        <v>0</v>
      </c>
      <c r="E237" s="441">
        <f t="shared" si="40"/>
        <v>0</v>
      </c>
      <c r="F237" s="443">
        <f t="shared" si="40"/>
        <v>0</v>
      </c>
      <c r="G237" s="441">
        <f t="shared" si="40"/>
        <v>0</v>
      </c>
      <c r="H237" s="443">
        <f t="shared" si="40"/>
        <v>0</v>
      </c>
      <c r="I237" s="44">
        <f t="shared" ref="I237:I300" si="41">G237-H237</f>
        <v>0</v>
      </c>
      <c r="J237" s="330" t="str">
        <f t="shared" ref="J237:J300" si="42">IF(I237=0,"",I237/H237)</f>
        <v/>
      </c>
      <c r="K237" s="442">
        <f t="shared" si="40"/>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1"/>
        <v>0</v>
      </c>
      <c r="J238" s="330" t="str">
        <f t="shared" si="42"/>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1"/>
        <v>0</v>
      </c>
      <c r="J239" s="330" t="str">
        <f t="shared" si="42"/>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1"/>
        <v>0</v>
      </c>
      <c r="J240" s="330" t="str">
        <f t="shared" si="42"/>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1"/>
        <v>0</v>
      </c>
      <c r="J241" s="330" t="str">
        <f t="shared" si="42"/>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1"/>
        <v>0</v>
      </c>
      <c r="J242" s="330" t="str">
        <f t="shared" si="42"/>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1"/>
        <v>0</v>
      </c>
      <c r="J243" s="330" t="str">
        <f t="shared" si="42"/>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1"/>
        <v>0</v>
      </c>
      <c r="J244" s="330" t="str">
        <f t="shared" si="42"/>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1"/>
        <v>0</v>
      </c>
      <c r="J245" s="330" t="str">
        <f t="shared" si="42"/>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1"/>
        <v>0</v>
      </c>
      <c r="J246" s="330" t="str">
        <f t="shared" si="42"/>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1"/>
        <v>0</v>
      </c>
      <c r="J247" s="330" t="str">
        <f t="shared" si="42"/>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3">SUM(C249:C258)</f>
        <v>0</v>
      </c>
      <c r="D248" s="444">
        <f t="shared" si="43"/>
        <v>0</v>
      </c>
      <c r="E248" s="441">
        <f t="shared" si="43"/>
        <v>0</v>
      </c>
      <c r="F248" s="443">
        <f t="shared" si="43"/>
        <v>0</v>
      </c>
      <c r="G248" s="441">
        <f t="shared" si="43"/>
        <v>0</v>
      </c>
      <c r="H248" s="443">
        <f t="shared" si="43"/>
        <v>0</v>
      </c>
      <c r="I248" s="44">
        <f t="shared" si="41"/>
        <v>0</v>
      </c>
      <c r="J248" s="330" t="str">
        <f t="shared" si="42"/>
        <v/>
      </c>
      <c r="K248" s="442">
        <f t="shared" si="43"/>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1"/>
        <v>0</v>
      </c>
      <c r="J249" s="330" t="str">
        <f t="shared" si="42"/>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1"/>
        <v>0</v>
      </c>
      <c r="J250" s="330" t="str">
        <f t="shared" si="42"/>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1"/>
        <v>0</v>
      </c>
      <c r="J251" s="330" t="str">
        <f t="shared" si="42"/>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1"/>
        <v>0</v>
      </c>
      <c r="J252" s="330" t="str">
        <f t="shared" si="42"/>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1"/>
        <v>0</v>
      </c>
      <c r="J253" s="330" t="str">
        <f t="shared" si="42"/>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1"/>
        <v>0</v>
      </c>
      <c r="J254" s="330" t="str">
        <f t="shared" si="42"/>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1"/>
        <v>0</v>
      </c>
      <c r="J255" s="330" t="str">
        <f t="shared" si="42"/>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1"/>
        <v>0</v>
      </c>
      <c r="J256" s="330" t="str">
        <f t="shared" si="42"/>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1"/>
        <v>0</v>
      </c>
      <c r="J257" s="330" t="str">
        <f t="shared" si="42"/>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1"/>
        <v>0</v>
      </c>
      <c r="J258" s="330" t="str">
        <f t="shared" si="42"/>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4">SUM(C260:C269)</f>
        <v>0</v>
      </c>
      <c r="D259" s="444">
        <f t="shared" si="44"/>
        <v>0</v>
      </c>
      <c r="E259" s="441">
        <f t="shared" si="44"/>
        <v>0</v>
      </c>
      <c r="F259" s="443">
        <f t="shared" si="44"/>
        <v>0</v>
      </c>
      <c r="G259" s="441">
        <f t="shared" si="44"/>
        <v>0</v>
      </c>
      <c r="H259" s="443">
        <f t="shared" si="44"/>
        <v>0</v>
      </c>
      <c r="I259" s="44">
        <f t="shared" si="41"/>
        <v>0</v>
      </c>
      <c r="J259" s="330" t="str">
        <f t="shared" si="42"/>
        <v/>
      </c>
      <c r="K259" s="442">
        <f t="shared" si="44"/>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1"/>
        <v>0</v>
      </c>
      <c r="J260" s="330" t="str">
        <f t="shared" si="42"/>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1"/>
        <v>0</v>
      </c>
      <c r="J261" s="330" t="str">
        <f t="shared" si="42"/>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1"/>
        <v>0</v>
      </c>
      <c r="J262" s="330" t="str">
        <f t="shared" si="42"/>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1"/>
        <v>0</v>
      </c>
      <c r="J263" s="330" t="str">
        <f t="shared" si="42"/>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1"/>
        <v>0</v>
      </c>
      <c r="J264" s="330" t="str">
        <f t="shared" si="42"/>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1"/>
        <v>0</v>
      </c>
      <c r="J265" s="330" t="str">
        <f t="shared" si="42"/>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1"/>
        <v>0</v>
      </c>
      <c r="J266" s="330" t="str">
        <f t="shared" si="42"/>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1"/>
        <v>0</v>
      </c>
      <c r="J267" s="330" t="str">
        <f t="shared" si="42"/>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1"/>
        <v>0</v>
      </c>
      <c r="J268" s="330" t="str">
        <f t="shared" si="42"/>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1"/>
        <v>0</v>
      </c>
      <c r="J269" s="330" t="str">
        <f t="shared" si="42"/>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5">SUM(C271:C280)</f>
        <v>0</v>
      </c>
      <c r="D270" s="444">
        <f t="shared" si="45"/>
        <v>0</v>
      </c>
      <c r="E270" s="441">
        <f t="shared" si="45"/>
        <v>0</v>
      </c>
      <c r="F270" s="443">
        <f t="shared" si="45"/>
        <v>0</v>
      </c>
      <c r="G270" s="441">
        <f t="shared" si="45"/>
        <v>0</v>
      </c>
      <c r="H270" s="443">
        <f t="shared" si="45"/>
        <v>0</v>
      </c>
      <c r="I270" s="44">
        <f t="shared" si="41"/>
        <v>0</v>
      </c>
      <c r="J270" s="330" t="str">
        <f t="shared" si="42"/>
        <v/>
      </c>
      <c r="K270" s="442">
        <f t="shared" si="45"/>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1"/>
        <v>0</v>
      </c>
      <c r="J271" s="330" t="str">
        <f t="shared" si="42"/>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1"/>
        <v>0</v>
      </c>
      <c r="J272" s="330" t="str">
        <f t="shared" si="42"/>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1"/>
        <v>0</v>
      </c>
      <c r="J273" s="330" t="str">
        <f t="shared" si="42"/>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1"/>
        <v>0</v>
      </c>
      <c r="J274" s="330" t="str">
        <f t="shared" si="42"/>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1"/>
        <v>0</v>
      </c>
      <c r="J275" s="330" t="str">
        <f t="shared" si="42"/>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1"/>
        <v>0</v>
      </c>
      <c r="J276" s="330" t="str">
        <f t="shared" si="42"/>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1"/>
        <v>0</v>
      </c>
      <c r="J277" s="330" t="str">
        <f t="shared" si="42"/>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1"/>
        <v>0</v>
      </c>
      <c r="J278" s="330" t="str">
        <f t="shared" si="42"/>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1"/>
        <v>0</v>
      </c>
      <c r="J279" s="330" t="str">
        <f t="shared" si="42"/>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1"/>
        <v>0</v>
      </c>
      <c r="J280" s="330" t="str">
        <f t="shared" si="42"/>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6">SUM(C282:C291)</f>
        <v>0</v>
      </c>
      <c r="D281" s="444">
        <f t="shared" si="46"/>
        <v>0</v>
      </c>
      <c r="E281" s="441">
        <f t="shared" si="46"/>
        <v>0</v>
      </c>
      <c r="F281" s="443">
        <f t="shared" si="46"/>
        <v>0</v>
      </c>
      <c r="G281" s="441">
        <f t="shared" si="46"/>
        <v>0</v>
      </c>
      <c r="H281" s="443">
        <f t="shared" si="46"/>
        <v>0</v>
      </c>
      <c r="I281" s="44">
        <f t="shared" si="41"/>
        <v>0</v>
      </c>
      <c r="J281" s="330" t="str">
        <f t="shared" si="42"/>
        <v/>
      </c>
      <c r="K281" s="442">
        <f t="shared" si="46"/>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1"/>
        <v>0</v>
      </c>
      <c r="J282" s="330" t="str">
        <f t="shared" si="42"/>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1"/>
        <v>0</v>
      </c>
      <c r="J283" s="330" t="str">
        <f t="shared" si="42"/>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1"/>
        <v>0</v>
      </c>
      <c r="J284" s="330" t="str">
        <f t="shared" si="42"/>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1"/>
        <v>0</v>
      </c>
      <c r="J285" s="330" t="str">
        <f t="shared" si="42"/>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1"/>
        <v>0</v>
      </c>
      <c r="J286" s="330" t="str">
        <f t="shared" si="42"/>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1"/>
        <v>0</v>
      </c>
      <c r="J287" s="330" t="str">
        <f t="shared" si="42"/>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1"/>
        <v>0</v>
      </c>
      <c r="J288" s="330" t="str">
        <f t="shared" si="42"/>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1"/>
        <v>0</v>
      </c>
      <c r="J289" s="330" t="str">
        <f t="shared" si="42"/>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1"/>
        <v>0</v>
      </c>
      <c r="J290" s="330" t="str">
        <f t="shared" si="42"/>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1"/>
        <v>0</v>
      </c>
      <c r="J291" s="330" t="str">
        <f t="shared" si="42"/>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7">SUM(C293:C302)</f>
        <v>0</v>
      </c>
      <c r="D292" s="444">
        <f t="shared" si="47"/>
        <v>0</v>
      </c>
      <c r="E292" s="441">
        <f t="shared" si="47"/>
        <v>0</v>
      </c>
      <c r="F292" s="443">
        <f t="shared" si="47"/>
        <v>0</v>
      </c>
      <c r="G292" s="441">
        <f t="shared" si="47"/>
        <v>0</v>
      </c>
      <c r="H292" s="443">
        <f t="shared" si="47"/>
        <v>0</v>
      </c>
      <c r="I292" s="44">
        <f t="shared" si="41"/>
        <v>0</v>
      </c>
      <c r="J292" s="330" t="str">
        <f t="shared" si="42"/>
        <v/>
      </c>
      <c r="K292" s="442">
        <f t="shared" si="47"/>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1"/>
        <v>0</v>
      </c>
      <c r="J293" s="330" t="str">
        <f t="shared" si="42"/>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1"/>
        <v>0</v>
      </c>
      <c r="J294" s="330" t="str">
        <f t="shared" si="42"/>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1"/>
        <v>0</v>
      </c>
      <c r="J295" s="330" t="str">
        <f t="shared" si="42"/>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1"/>
        <v>0</v>
      </c>
      <c r="J296" s="330" t="str">
        <f t="shared" si="42"/>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1"/>
        <v>0</v>
      </c>
      <c r="J297" s="330" t="str">
        <f t="shared" si="42"/>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1"/>
        <v>0</v>
      </c>
      <c r="J298" s="330" t="str">
        <f t="shared" si="42"/>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1"/>
        <v>0</v>
      </c>
      <c r="J299" s="330" t="str">
        <f t="shared" si="42"/>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1"/>
        <v>0</v>
      </c>
      <c r="J300" s="330" t="str">
        <f t="shared" si="42"/>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8">G301-H301</f>
        <v>0</v>
      </c>
      <c r="J301" s="330" t="str">
        <f t="shared" ref="J301:J316" si="49">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8"/>
        <v>0</v>
      </c>
      <c r="J302" s="330" t="str">
        <f t="shared" si="49"/>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0">SUM(C304:C313)</f>
        <v>0</v>
      </c>
      <c r="D303" s="444">
        <f t="shared" si="50"/>
        <v>0</v>
      </c>
      <c r="E303" s="441">
        <f t="shared" si="50"/>
        <v>0</v>
      </c>
      <c r="F303" s="443">
        <f t="shared" si="50"/>
        <v>0</v>
      </c>
      <c r="G303" s="441">
        <f t="shared" si="50"/>
        <v>0</v>
      </c>
      <c r="H303" s="443">
        <f t="shared" si="50"/>
        <v>0</v>
      </c>
      <c r="I303" s="44">
        <f t="shared" si="48"/>
        <v>0</v>
      </c>
      <c r="J303" s="330" t="str">
        <f t="shared" si="49"/>
        <v/>
      </c>
      <c r="K303" s="442">
        <f t="shared" si="50"/>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8"/>
        <v>0</v>
      </c>
      <c r="J304" s="330" t="str">
        <f t="shared" si="49"/>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8"/>
        <v>0</v>
      </c>
      <c r="J305" s="330" t="str">
        <f t="shared" si="49"/>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8"/>
        <v>0</v>
      </c>
      <c r="J306" s="330" t="str">
        <f t="shared" si="49"/>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8"/>
        <v>0</v>
      </c>
      <c r="J307" s="330" t="str">
        <f t="shared" si="49"/>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8"/>
        <v>0</v>
      </c>
      <c r="J308" s="330" t="str">
        <f t="shared" si="49"/>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8"/>
        <v>0</v>
      </c>
      <c r="J309" s="330" t="str">
        <f t="shared" si="49"/>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8"/>
        <v>0</v>
      </c>
      <c r="J310" s="330" t="str">
        <f t="shared" si="49"/>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8"/>
        <v>0</v>
      </c>
      <c r="J311" s="330" t="str">
        <f t="shared" si="49"/>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8"/>
        <v>0</v>
      </c>
      <c r="J312" s="330" t="str">
        <f t="shared" si="49"/>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8"/>
        <v>0</v>
      </c>
      <c r="J313" s="330" t="str">
        <f t="shared" si="49"/>
        <v/>
      </c>
      <c r="K313" s="395"/>
      <c r="L313" s="452">
        <f t="shared" ref="L313:W313" si="51">SUM(L148:L224)</f>
        <v>0</v>
      </c>
      <c r="M313" s="453">
        <f t="shared" si="51"/>
        <v>0</v>
      </c>
      <c r="N313" s="453">
        <f t="shared" si="51"/>
        <v>0</v>
      </c>
      <c r="O313" s="453">
        <f t="shared" si="51"/>
        <v>0</v>
      </c>
      <c r="P313" s="453">
        <f t="shared" si="51"/>
        <v>0</v>
      </c>
      <c r="Q313" s="453">
        <f t="shared" si="51"/>
        <v>0</v>
      </c>
      <c r="R313" s="453">
        <f t="shared" si="51"/>
        <v>0</v>
      </c>
      <c r="S313" s="453">
        <f t="shared" si="51"/>
        <v>0</v>
      </c>
      <c r="T313" s="453">
        <f t="shared" si="51"/>
        <v>0</v>
      </c>
      <c r="U313" s="453">
        <f t="shared" si="51"/>
        <v>0</v>
      </c>
      <c r="V313" s="453">
        <f t="shared" si="51"/>
        <v>0</v>
      </c>
      <c r="W313" s="453">
        <f t="shared" si="51"/>
        <v>0</v>
      </c>
    </row>
    <row r="314" spans="1:23" ht="12.75" customHeight="1" x14ac:dyDescent="0.25">
      <c r="A314" s="711" t="s">
        <v>799</v>
      </c>
      <c r="B314" s="712"/>
      <c r="C314" s="508">
        <f>C149+C160+C171+C182+C193+C204+C215+C226+C237+C259+C270+C281+C292+C303+C248</f>
        <v>0</v>
      </c>
      <c r="D314" s="475">
        <f t="shared" ref="D314:K314" si="52">D149+D160+D171+D182+D193+D204+D215+D226+D237+D259+D270+D281+D292+D303+D248</f>
        <v>71724000</v>
      </c>
      <c r="E314" s="430">
        <f t="shared" si="52"/>
        <v>0</v>
      </c>
      <c r="F314" s="474">
        <f t="shared" si="52"/>
        <v>21878640.649999999</v>
      </c>
      <c r="G314" s="430">
        <f t="shared" si="52"/>
        <v>22815289.190000001</v>
      </c>
      <c r="H314" s="474">
        <f t="shared" si="52"/>
        <v>11954000</v>
      </c>
      <c r="I314" s="430">
        <f t="shared" si="48"/>
        <v>10861289.190000001</v>
      </c>
      <c r="J314" s="430">
        <f t="shared" si="49"/>
        <v>0.90859036222185052</v>
      </c>
      <c r="K314" s="513">
        <f t="shared" si="52"/>
        <v>71724000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8"/>
        <v>0</v>
      </c>
      <c r="J315" s="50" t="str">
        <f t="shared" si="49"/>
        <v/>
      </c>
      <c r="K315" s="194"/>
      <c r="L315" s="480">
        <f t="shared" ref="L315:W315" si="53">L144-L313</f>
        <v>0</v>
      </c>
      <c r="M315" s="481">
        <f t="shared" si="53"/>
        <v>0</v>
      </c>
      <c r="N315" s="481">
        <f t="shared" si="53"/>
        <v>0</v>
      </c>
      <c r="O315" s="481">
        <f t="shared" si="53"/>
        <v>0</v>
      </c>
      <c r="P315" s="481">
        <f t="shared" si="53"/>
        <v>0</v>
      </c>
      <c r="Q315" s="481">
        <f t="shared" si="53"/>
        <v>0</v>
      </c>
      <c r="R315" s="481">
        <f t="shared" si="53"/>
        <v>0</v>
      </c>
      <c r="S315" s="481">
        <f t="shared" si="53"/>
        <v>0</v>
      </c>
      <c r="T315" s="481">
        <f t="shared" si="53"/>
        <v>0</v>
      </c>
      <c r="U315" s="481">
        <f t="shared" si="53"/>
        <v>0</v>
      </c>
      <c r="V315" s="481">
        <f t="shared" si="53"/>
        <v>0</v>
      </c>
      <c r="W315" s="481">
        <f t="shared" si="53"/>
        <v>0</v>
      </c>
    </row>
    <row r="316" spans="1:23" s="486" customFormat="1" ht="13.5" customHeight="1" thickTop="1" x14ac:dyDescent="0.25">
      <c r="A316" s="53" t="s">
        <v>761</v>
      </c>
      <c r="B316" s="477"/>
      <c r="C316" s="509">
        <f>C145+C314</f>
        <v>0</v>
      </c>
      <c r="D316" s="512">
        <f t="shared" ref="D316:K316" si="54">D145+D314</f>
        <v>580891581</v>
      </c>
      <c r="E316" s="55">
        <f t="shared" si="54"/>
        <v>0</v>
      </c>
      <c r="F316" s="479">
        <f t="shared" si="54"/>
        <v>28293389.689999998</v>
      </c>
      <c r="G316" s="55">
        <f t="shared" si="54"/>
        <v>29230038.23</v>
      </c>
      <c r="H316" s="479">
        <f t="shared" si="54"/>
        <v>96815263.5</v>
      </c>
      <c r="I316" s="55">
        <f t="shared" si="48"/>
        <v>-67585225.269999996</v>
      </c>
      <c r="J316" s="55">
        <f t="shared" si="49"/>
        <v>-0.69808440143325123</v>
      </c>
      <c r="K316" s="235">
        <f t="shared" si="54"/>
        <v>580891581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0" activePane="bottomRight" state="frozen"/>
      <selection pane="topRight"/>
      <selection pane="bottomLeft"/>
      <selection pane="bottomRight" sqref="A1:G48"/>
    </sheetView>
  </sheetViews>
  <sheetFormatPr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7" t="str">
        <f>muni&amp; " - "&amp;S71E&amp; " - "&amp;date</f>
        <v>KZN225 Msunduzi - Table C6 Consolidated Monthly Budget Statement - Financial Position  - M02 August</v>
      </c>
      <c r="B1" s="1057"/>
      <c r="C1" s="1057"/>
      <c r="D1" s="1057"/>
      <c r="E1" s="1057"/>
      <c r="F1" s="1057"/>
      <c r="G1" s="1057"/>
    </row>
    <row r="2" spans="1:8" x14ac:dyDescent="0.25">
      <c r="A2" s="1042" t="str">
        <f>desc</f>
        <v>Description</v>
      </c>
      <c r="B2" s="1035" t="str">
        <f>head27</f>
        <v>Ref</v>
      </c>
      <c r="C2" s="140" t="str">
        <f>Head1</f>
        <v>2019/20</v>
      </c>
      <c r="D2" s="245" t="str">
        <f>Head2</f>
        <v>Budget Year 2020/21</v>
      </c>
      <c r="E2" s="229"/>
      <c r="F2" s="229"/>
      <c r="G2" s="230"/>
    </row>
    <row r="3" spans="1:8" ht="25.5" x14ac:dyDescent="0.25">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c r="F7" s="733">
        <v>75357493.00999999</v>
      </c>
      <c r="G7" s="735">
        <f>D7</f>
        <v>365664115.172562</v>
      </c>
    </row>
    <row r="8" spans="1:8" ht="12.75" customHeight="1" x14ac:dyDescent="0.25">
      <c r="A8" s="39" t="s">
        <v>590</v>
      </c>
      <c r="B8" s="169"/>
      <c r="C8" s="748"/>
      <c r="D8" s="753">
        <v>16771734.260000002</v>
      </c>
      <c r="E8" s="733"/>
      <c r="F8" s="733">
        <v>285833033.11000001</v>
      </c>
      <c r="G8" s="735">
        <f>D8</f>
        <v>16771734.260000002</v>
      </c>
    </row>
    <row r="9" spans="1:8" ht="12.75" customHeight="1" x14ac:dyDescent="0.25">
      <c r="A9" s="39" t="s">
        <v>588</v>
      </c>
      <c r="B9" s="169"/>
      <c r="C9" s="748"/>
      <c r="D9" s="753">
        <v>2485904793.8587079</v>
      </c>
      <c r="E9" s="733"/>
      <c r="F9" s="733">
        <v>2117642934.4100013</v>
      </c>
      <c r="G9" s="735">
        <f>D9</f>
        <v>2485904793.8587079</v>
      </c>
    </row>
    <row r="10" spans="1:8" ht="12.75" customHeight="1" x14ac:dyDescent="0.25">
      <c r="A10" s="39" t="s">
        <v>589</v>
      </c>
      <c r="B10" s="169"/>
      <c r="C10" s="748"/>
      <c r="D10" s="753">
        <v>67823549.673443094</v>
      </c>
      <c r="E10" s="733"/>
      <c r="F10" s="733">
        <v>3163704.9699999965</v>
      </c>
      <c r="G10" s="735">
        <f>D10</f>
        <v>67823549.673443094</v>
      </c>
    </row>
    <row r="11" spans="1:8" ht="12.75" customHeight="1" x14ac:dyDescent="0.25">
      <c r="A11" s="39" t="s">
        <v>786</v>
      </c>
      <c r="B11" s="169"/>
      <c r="C11" s="748"/>
      <c r="D11" s="753"/>
      <c r="E11" s="733"/>
      <c r="F11" s="733"/>
      <c r="G11" s="735"/>
    </row>
    <row r="12" spans="1:8" ht="12.75" customHeight="1" x14ac:dyDescent="0.25">
      <c r="A12" s="39" t="s">
        <v>587</v>
      </c>
      <c r="B12" s="169"/>
      <c r="C12" s="748"/>
      <c r="D12" s="753">
        <v>36180571.679769903</v>
      </c>
      <c r="E12" s="733"/>
      <c r="F12" s="733">
        <v>341679484.17000002</v>
      </c>
      <c r="G12" s="735">
        <f>D12</f>
        <v>36180571.679769903</v>
      </c>
    </row>
    <row r="13" spans="1:8" ht="12.75" customHeight="1" x14ac:dyDescent="0.25">
      <c r="A13" s="92" t="s">
        <v>632</v>
      </c>
      <c r="B13" s="233"/>
      <c r="C13" s="243">
        <f>SUM(C7:C12)</f>
        <v>0</v>
      </c>
      <c r="D13" s="260">
        <f>SUM(D7:D12)</f>
        <v>2972344764.6444831</v>
      </c>
      <c r="E13" s="73">
        <f>SUM(E7:E12)</f>
        <v>0</v>
      </c>
      <c r="F13" s="73">
        <f>SUM(F7:F12)</f>
        <v>2823676649.670001</v>
      </c>
      <c r="G13" s="145">
        <f>SUM(G7:G12)</f>
        <v>2972344764.6444831</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392795.70999999903</v>
      </c>
      <c r="G16" s="733"/>
      <c r="H16" s="39"/>
    </row>
    <row r="17" spans="1:8" ht="12.75" customHeight="1" x14ac:dyDescent="0.25">
      <c r="A17" s="39" t="s">
        <v>544</v>
      </c>
      <c r="B17" s="169"/>
      <c r="C17" s="748"/>
      <c r="D17" s="753">
        <v>2969671.4292000006</v>
      </c>
      <c r="E17" s="733"/>
      <c r="F17" s="733"/>
      <c r="G17" s="735">
        <f>D17</f>
        <v>2969671.4292000006</v>
      </c>
      <c r="H17" s="39"/>
    </row>
    <row r="18" spans="1:8" ht="12.75" customHeight="1" x14ac:dyDescent="0.25">
      <c r="A18" s="39" t="s">
        <v>585</v>
      </c>
      <c r="B18" s="169"/>
      <c r="C18" s="748"/>
      <c r="D18" s="753">
        <v>782332533.60000002</v>
      </c>
      <c r="E18" s="733"/>
      <c r="F18" s="733">
        <v>702956999.95000005</v>
      </c>
      <c r="G18" s="735">
        <f>D18</f>
        <v>782332533.60000002</v>
      </c>
      <c r="H18" s="39"/>
    </row>
    <row r="19" spans="1:8" ht="12.75" customHeight="1" x14ac:dyDescent="0.25">
      <c r="A19" s="39" t="s">
        <v>278</v>
      </c>
      <c r="B19" s="169"/>
      <c r="C19" s="748"/>
      <c r="D19" s="753"/>
      <c r="E19" s="733"/>
      <c r="F19" s="733"/>
      <c r="G19" s="735"/>
      <c r="H19" s="39"/>
    </row>
    <row r="20" spans="1:8" ht="12.75" customHeight="1" x14ac:dyDescent="0.25">
      <c r="A20" s="39" t="s">
        <v>584</v>
      </c>
      <c r="B20" s="169"/>
      <c r="C20" s="748"/>
      <c r="D20" s="753">
        <v>7111997635.7252645</v>
      </c>
      <c r="E20" s="733"/>
      <c r="F20" s="733">
        <v>7180858828.5600004</v>
      </c>
      <c r="G20" s="735">
        <f>D20</f>
        <v>7111997635.7252645</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c r="F22" s="733">
        <v>1070250</v>
      </c>
      <c r="G22" s="735">
        <f>D22</f>
        <v>1065650.33</v>
      </c>
      <c r="H22" s="39"/>
    </row>
    <row r="23" spans="1:8" ht="12.75" customHeight="1" x14ac:dyDescent="0.25">
      <c r="A23" s="39" t="s">
        <v>1334</v>
      </c>
      <c r="B23" s="169"/>
      <c r="C23" s="748"/>
      <c r="D23" s="753">
        <v>46132727.226800002</v>
      </c>
      <c r="E23" s="733"/>
      <c r="F23" s="733">
        <v>28921284.810000002</v>
      </c>
      <c r="G23" s="735">
        <f>D23</f>
        <v>46132727.226800002</v>
      </c>
      <c r="H23" s="39"/>
    </row>
    <row r="24" spans="1:8" ht="12.75" customHeight="1" x14ac:dyDescent="0.25">
      <c r="A24" s="39" t="s">
        <v>795</v>
      </c>
      <c r="B24" s="169"/>
      <c r="C24" s="748"/>
      <c r="D24" s="753">
        <v>395927434.26520002</v>
      </c>
      <c r="E24" s="733"/>
      <c r="F24" s="733">
        <v>83200000</v>
      </c>
      <c r="G24" s="735">
        <f>D24</f>
        <v>395927434.26520002</v>
      </c>
      <c r="H24" s="39"/>
    </row>
    <row r="25" spans="1:8" ht="12.75" customHeight="1" x14ac:dyDescent="0.25">
      <c r="A25" s="92" t="s">
        <v>631</v>
      </c>
      <c r="B25" s="233"/>
      <c r="C25" s="243">
        <f>SUM(C16:C20)+SUM(C22:C24)</f>
        <v>0</v>
      </c>
      <c r="D25" s="260">
        <f>SUM(D16:D20)+SUM(D22:D24)</f>
        <v>8340425652.5764656</v>
      </c>
      <c r="E25" s="73">
        <f>SUM(E16:E20)+SUM(E22:E24)</f>
        <v>0</v>
      </c>
      <c r="F25" s="73">
        <f>SUM(F16:F20)+SUM(F22:F24)</f>
        <v>7997400159.0300007</v>
      </c>
      <c r="G25" s="145">
        <f>SUM(G16:G20)+SUM(G22:G24)</f>
        <v>8340425652.5764656</v>
      </c>
      <c r="H25" s="39"/>
    </row>
    <row r="26" spans="1:8" ht="12.75" customHeight="1" x14ac:dyDescent="0.25">
      <c r="A26" s="92" t="s">
        <v>778</v>
      </c>
      <c r="B26" s="233"/>
      <c r="C26" s="243">
        <f>C13+C25</f>
        <v>0</v>
      </c>
      <c r="D26" s="260">
        <f>D13+D25</f>
        <v>11312770417.220949</v>
      </c>
      <c r="E26" s="73">
        <f>E13+E25</f>
        <v>0</v>
      </c>
      <c r="F26" s="73">
        <f>F13+F25</f>
        <v>10821076808.700001</v>
      </c>
      <c r="G26" s="145">
        <f>G13+G25</f>
        <v>11312770417.220949</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c r="F31" s="733">
        <v>80973541.099999994</v>
      </c>
      <c r="G31" s="735">
        <f>D31</f>
        <v>85380595.876948789</v>
      </c>
    </row>
    <row r="32" spans="1:8" ht="12.75" customHeight="1" x14ac:dyDescent="0.25">
      <c r="A32" s="39" t="s">
        <v>583</v>
      </c>
      <c r="B32" s="169"/>
      <c r="C32" s="748"/>
      <c r="D32" s="753">
        <v>114344430.65218705</v>
      </c>
      <c r="E32" s="733"/>
      <c r="F32" s="733">
        <v>117237329.08</v>
      </c>
      <c r="G32" s="735">
        <f>D32</f>
        <v>114344430.65218705</v>
      </c>
    </row>
    <row r="33" spans="1:7" ht="12.75" customHeight="1" x14ac:dyDescent="0.25">
      <c r="A33" s="39" t="s">
        <v>787</v>
      </c>
      <c r="B33" s="169"/>
      <c r="C33" s="748"/>
      <c r="D33" s="753">
        <v>1101595513.0999999</v>
      </c>
      <c r="E33" s="733"/>
      <c r="F33" s="733">
        <v>970456103.37</v>
      </c>
      <c r="G33" s="735">
        <f>D33</f>
        <v>1101595513.0999999</v>
      </c>
    </row>
    <row r="34" spans="1:7" ht="12.75" customHeight="1" x14ac:dyDescent="0.25">
      <c r="A34" s="39" t="s">
        <v>546</v>
      </c>
      <c r="B34" s="169"/>
      <c r="C34" s="748"/>
      <c r="D34" s="753">
        <v>140397811.785</v>
      </c>
      <c r="E34" s="733"/>
      <c r="F34" s="733">
        <v>260933968.06</v>
      </c>
      <c r="G34" s="735">
        <f>D34</f>
        <v>140397811.785</v>
      </c>
    </row>
    <row r="35" spans="1:7" ht="12.75" customHeight="1" x14ac:dyDescent="0.25">
      <c r="A35" s="92" t="s">
        <v>459</v>
      </c>
      <c r="B35" s="233"/>
      <c r="C35" s="243">
        <f>SUM(C30:C34)</f>
        <v>0</v>
      </c>
      <c r="D35" s="260">
        <f>SUM(D30:D34)</f>
        <v>1441718351.4141357</v>
      </c>
      <c r="E35" s="73">
        <f>SUM(E30:E34)</f>
        <v>0</v>
      </c>
      <c r="F35" s="73">
        <f>SUM(F30:F34)</f>
        <v>1429600941.6099999</v>
      </c>
      <c r="G35" s="145">
        <f>SUM(G30:G34)</f>
        <v>1441718351.4141357</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c r="F38" s="733">
        <v>285317995.64999998</v>
      </c>
      <c r="G38" s="735">
        <f>D38</f>
        <v>282085537</v>
      </c>
    </row>
    <row r="39" spans="1:7" ht="12.75" customHeight="1" x14ac:dyDescent="0.25">
      <c r="A39" s="39" t="s">
        <v>546</v>
      </c>
      <c r="B39" s="169"/>
      <c r="C39" s="748"/>
      <c r="D39" s="753">
        <v>809779414.93056619</v>
      </c>
      <c r="E39" s="733"/>
      <c r="F39" s="733">
        <v>570474384.63999999</v>
      </c>
      <c r="G39" s="735">
        <f>D39</f>
        <v>809779414.93056619</v>
      </c>
    </row>
    <row r="40" spans="1:7" ht="12.75" customHeight="1" x14ac:dyDescent="0.25">
      <c r="A40" s="92" t="s">
        <v>458</v>
      </c>
      <c r="B40" s="233"/>
      <c r="C40" s="243">
        <f>SUM(C38:C39)</f>
        <v>0</v>
      </c>
      <c r="D40" s="260">
        <f>SUM(D38:D39)</f>
        <v>1091864951.9305663</v>
      </c>
      <c r="E40" s="73">
        <f>SUM(E38:E39)</f>
        <v>0</v>
      </c>
      <c r="F40" s="73">
        <f>SUM(F38:F39)</f>
        <v>855792380.28999996</v>
      </c>
      <c r="G40" s="145">
        <f>SUM(G38:G39)</f>
        <v>1091864951.9305663</v>
      </c>
    </row>
    <row r="41" spans="1:7" ht="12.75" customHeight="1" x14ac:dyDescent="0.25">
      <c r="A41" s="92" t="s">
        <v>1</v>
      </c>
      <c r="B41" s="233"/>
      <c r="C41" s="243">
        <f>C35+C40</f>
        <v>0</v>
      </c>
      <c r="D41" s="260">
        <f>D35+D40</f>
        <v>2533583303.3447018</v>
      </c>
      <c r="E41" s="73">
        <f>E35+E40</f>
        <v>0</v>
      </c>
      <c r="F41" s="73">
        <f>F35+F40</f>
        <v>2285393321.8999996</v>
      </c>
      <c r="G41" s="145">
        <f>G35+G40</f>
        <v>2533583303.3447018</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0</v>
      </c>
      <c r="F43" s="76">
        <f>F26-F41</f>
        <v>8535683486.8000011</v>
      </c>
      <c r="G43" s="234">
        <f>G26-G41</f>
        <v>8779187113.8762474</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c r="F46" s="733">
        <v>8345909584.2800007</v>
      </c>
      <c r="G46" s="735">
        <f>D46</f>
        <v>8550273855.8762474</v>
      </c>
    </row>
    <row r="47" spans="1:7" ht="12.75" customHeight="1" x14ac:dyDescent="0.25">
      <c r="A47" s="39" t="s">
        <v>902</v>
      </c>
      <c r="B47" s="169"/>
      <c r="C47" s="748"/>
      <c r="D47" s="753">
        <v>228913258</v>
      </c>
      <c r="E47" s="733"/>
      <c r="F47" s="733">
        <v>189773902.52000001</v>
      </c>
      <c r="G47" s="735">
        <f>D47</f>
        <v>228913258</v>
      </c>
    </row>
    <row r="48" spans="1:7" ht="12.75" customHeight="1" x14ac:dyDescent="0.25">
      <c r="A48" s="53" t="s">
        <v>626</v>
      </c>
      <c r="B48" s="236">
        <v>2</v>
      </c>
      <c r="C48" s="112">
        <f>SUM(C46:C47)</f>
        <v>0</v>
      </c>
      <c r="D48" s="271">
        <f>SUM(D46:D47)</f>
        <v>8779187113.8762474</v>
      </c>
      <c r="E48" s="55">
        <f>SUM(E46:E47)</f>
        <v>0</v>
      </c>
      <c r="F48" s="55">
        <f>SUM(F46:F47)</f>
        <v>8535683486.8000011</v>
      </c>
      <c r="G48" s="235">
        <f>SUM(G46:G47)</f>
        <v>8779187113.8762474</v>
      </c>
    </row>
    <row r="49" spans="1:7" ht="12.75" customHeight="1" x14ac:dyDescent="0.25">
      <c r="A49" s="78" t="str">
        <f>head27a</f>
        <v>References</v>
      </c>
      <c r="B49" s="58"/>
      <c r="C49" s="49"/>
      <c r="D49" s="49"/>
      <c r="E49" s="49"/>
      <c r="F49" s="49"/>
      <c r="G49" s="49"/>
    </row>
    <row r="50" spans="1:7" ht="13.5" customHeight="1" x14ac:dyDescent="0.25">
      <c r="A50" s="1056" t="s">
        <v>145</v>
      </c>
      <c r="B50" s="1056"/>
      <c r="C50" s="1056"/>
      <c r="D50" s="1056"/>
      <c r="E50" s="1056"/>
      <c r="F50" s="1056"/>
      <c r="G50" s="1056"/>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15" sqref="H15"/>
    </sheetView>
  </sheetViews>
  <sheetFormatPr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"&amp;S71F&amp; " - "&amp;date</f>
        <v>KZN225 Msunduzi - Table C7 Consolidated Monthly Budget Statement - Cash Flow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c r="F7" s="733"/>
      <c r="G7" s="733"/>
      <c r="H7" s="733">
        <f t="shared" ref="H7:H12" si="0">D7/12*2</f>
        <v>179887567.48642161</v>
      </c>
      <c r="I7" s="44">
        <f t="shared" ref="I7:I13" si="1">G7-H7</f>
        <v>-179887567.48642161</v>
      </c>
      <c r="J7" s="330">
        <f>IF(I7=0,"",I7/H7)</f>
        <v>-1</v>
      </c>
      <c r="K7" s="735">
        <f t="shared" ref="K7:K12" si="2">D7</f>
        <v>1079325404.9185297</v>
      </c>
    </row>
    <row r="8" spans="1:11" ht="12.75" customHeight="1" x14ac:dyDescent="0.25">
      <c r="A8" s="518" t="s">
        <v>962</v>
      </c>
      <c r="B8" s="169"/>
      <c r="C8" s="748"/>
      <c r="D8" s="745">
        <v>3039399061.9489746</v>
      </c>
      <c r="E8" s="733"/>
      <c r="F8" s="733"/>
      <c r="G8" s="733"/>
      <c r="H8" s="733">
        <f t="shared" si="0"/>
        <v>506566510.3248291</v>
      </c>
      <c r="I8" s="44">
        <f t="shared" si="1"/>
        <v>-506566510.3248291</v>
      </c>
      <c r="J8" s="330">
        <f>IF(I8=0,"",I8/H8)</f>
        <v>-1</v>
      </c>
      <c r="K8" s="735">
        <f t="shared" si="2"/>
        <v>3039399061.9489746</v>
      </c>
    </row>
    <row r="9" spans="1:11" ht="12.75" customHeight="1" x14ac:dyDescent="0.25">
      <c r="A9" s="518" t="s">
        <v>453</v>
      </c>
      <c r="B9" s="169"/>
      <c r="C9" s="748"/>
      <c r="D9" s="745">
        <v>152193014.45782498</v>
      </c>
      <c r="E9" s="733"/>
      <c r="F9" s="733"/>
      <c r="G9" s="733"/>
      <c r="H9" s="733">
        <f t="shared" si="0"/>
        <v>25365502.409637496</v>
      </c>
      <c r="I9" s="44">
        <f t="shared" si="1"/>
        <v>-25365502.409637496</v>
      </c>
      <c r="J9" s="330">
        <f>IF(I9=0,"",I9/H9)</f>
        <v>-1</v>
      </c>
      <c r="K9" s="735">
        <f t="shared" si="2"/>
        <v>152193014.45782498</v>
      </c>
    </row>
    <row r="10" spans="1:11" ht="12.75" customHeight="1" x14ac:dyDescent="0.25">
      <c r="A10" s="992" t="s">
        <v>1372</v>
      </c>
      <c r="B10" s="171"/>
      <c r="C10" s="748"/>
      <c r="D10" s="745">
        <v>675483240</v>
      </c>
      <c r="E10" s="733"/>
      <c r="F10" s="733"/>
      <c r="G10" s="733"/>
      <c r="H10" s="733">
        <f t="shared" si="0"/>
        <v>112580540</v>
      </c>
      <c r="I10" s="44">
        <f t="shared" si="1"/>
        <v>-112580540</v>
      </c>
      <c r="J10" s="330">
        <f>IF(I10=0,"",I10/H10)</f>
        <v>-1</v>
      </c>
      <c r="K10" s="735">
        <f t="shared" si="2"/>
        <v>675483240</v>
      </c>
    </row>
    <row r="11" spans="1:11" ht="12.75" customHeight="1" x14ac:dyDescent="0.25">
      <c r="A11" s="992" t="s">
        <v>1373</v>
      </c>
      <c r="B11" s="171"/>
      <c r="C11" s="748"/>
      <c r="D11" s="745">
        <v>525891580.99999982</v>
      </c>
      <c r="E11" s="733"/>
      <c r="F11" s="733"/>
      <c r="G11" s="733"/>
      <c r="H11" s="733">
        <f t="shared" si="0"/>
        <v>87648596.833333299</v>
      </c>
      <c r="I11" s="44">
        <f t="shared" si="1"/>
        <v>-87648596.833333299</v>
      </c>
      <c r="J11" s="330">
        <f t="shared" ref="J11:J18" si="3">IF(I11=0,"",I11/H11)</f>
        <v>-1</v>
      </c>
      <c r="K11" s="735">
        <f t="shared" si="2"/>
        <v>525891580.99999982</v>
      </c>
    </row>
    <row r="12" spans="1:11" ht="12.75" customHeight="1" x14ac:dyDescent="0.25">
      <c r="A12" s="86" t="s">
        <v>886</v>
      </c>
      <c r="B12" s="171"/>
      <c r="C12" s="748"/>
      <c r="D12" s="745">
        <v>185060483.86592242</v>
      </c>
      <c r="E12" s="733"/>
      <c r="F12" s="733"/>
      <c r="G12" s="733"/>
      <c r="H12" s="733">
        <f t="shared" si="0"/>
        <v>30843413.977653738</v>
      </c>
      <c r="I12" s="44">
        <f t="shared" si="1"/>
        <v>-30843413.977653738</v>
      </c>
      <c r="J12" s="330">
        <f t="shared" si="3"/>
        <v>-1</v>
      </c>
      <c r="K12" s="735">
        <f t="shared" si="2"/>
        <v>185060483.86592242</v>
      </c>
    </row>
    <row r="13" spans="1:11" ht="12.75" customHeight="1" x14ac:dyDescent="0.25">
      <c r="A13" s="86" t="s">
        <v>666</v>
      </c>
      <c r="B13" s="171"/>
      <c r="C13" s="748"/>
      <c r="D13" s="745"/>
      <c r="E13" s="733"/>
      <c r="F13" s="733"/>
      <c r="G13" s="733"/>
      <c r="H13" s="733"/>
      <c r="I13" s="44">
        <f t="shared" si="1"/>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c r="F15" s="733"/>
      <c r="G15" s="733"/>
      <c r="H15" s="733">
        <f>D15/12*2</f>
        <v>-807990947.0159415</v>
      </c>
      <c r="I15" s="44">
        <f>H15-G15</f>
        <v>-807990947.0159415</v>
      </c>
      <c r="J15" s="330">
        <f t="shared" si="3"/>
        <v>1</v>
      </c>
      <c r="K15" s="735">
        <f>D15</f>
        <v>-4847945682.0956488</v>
      </c>
    </row>
    <row r="16" spans="1:11" ht="12.75" customHeight="1" x14ac:dyDescent="0.25">
      <c r="A16" s="86" t="s">
        <v>452</v>
      </c>
      <c r="B16" s="171"/>
      <c r="C16" s="748"/>
      <c r="D16" s="745">
        <v>-31793212.220000003</v>
      </c>
      <c r="E16" s="733"/>
      <c r="F16" s="733"/>
      <c r="G16" s="733"/>
      <c r="H16" s="733">
        <f>D16/12*2</f>
        <v>-5298868.7033333341</v>
      </c>
      <c r="I16" s="44">
        <f>H16-G16</f>
        <v>-5298868.7033333341</v>
      </c>
      <c r="J16" s="330">
        <f t="shared" si="3"/>
        <v>1</v>
      </c>
      <c r="K16" s="735">
        <f>D16</f>
        <v>-31793212.220000003</v>
      </c>
    </row>
    <row r="17" spans="1:11" ht="12.75" customHeight="1" x14ac:dyDescent="0.25">
      <c r="A17" s="86" t="s">
        <v>69</v>
      </c>
      <c r="B17" s="171"/>
      <c r="C17" s="748"/>
      <c r="D17" s="745">
        <v>-25080461.44304001</v>
      </c>
      <c r="E17" s="733"/>
      <c r="F17" s="733"/>
      <c r="G17" s="733"/>
      <c r="H17" s="733">
        <f>D17/12*2</f>
        <v>-4180076.9071733351</v>
      </c>
      <c r="I17" s="44">
        <f>H17-G17</f>
        <v>-4180076.9071733351</v>
      </c>
      <c r="J17" s="330">
        <f t="shared" si="3"/>
        <v>1</v>
      </c>
      <c r="K17" s="735">
        <f>D17</f>
        <v>-25080461.44304001</v>
      </c>
    </row>
    <row r="18" spans="1:11" ht="12.75" customHeight="1" x14ac:dyDescent="0.25">
      <c r="A18" s="92" t="s">
        <v>889</v>
      </c>
      <c r="B18" s="233"/>
      <c r="C18" s="243">
        <f t="shared" ref="C18:H18" si="4">SUM(C7:C13)+SUM(C15:C17)</f>
        <v>0</v>
      </c>
      <c r="D18" s="74">
        <f t="shared" si="4"/>
        <v>752533430.43256187</v>
      </c>
      <c r="E18" s="73">
        <f t="shared" si="4"/>
        <v>0</v>
      </c>
      <c r="F18" s="73">
        <f t="shared" si="4"/>
        <v>0</v>
      </c>
      <c r="G18" s="73">
        <f t="shared" si="4"/>
        <v>0</v>
      </c>
      <c r="H18" s="73">
        <f t="shared" si="4"/>
        <v>125422238.40542698</v>
      </c>
      <c r="I18" s="73">
        <f>H18-G18</f>
        <v>125422238.40542698</v>
      </c>
      <c r="J18" s="331">
        <f t="shared" si="3"/>
        <v>1</v>
      </c>
      <c r="K18" s="145">
        <f>SUM(K7:K13)+SUM(K15:K17)</f>
        <v>752533430.43256187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5">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5"/>
        <v/>
      </c>
      <c r="K24" s="735"/>
    </row>
    <row r="25" spans="1:11" ht="12.75" customHeight="1" x14ac:dyDescent="0.25">
      <c r="A25" s="39" t="s">
        <v>888</v>
      </c>
      <c r="B25" s="169"/>
      <c r="C25" s="748"/>
      <c r="D25" s="745"/>
      <c r="E25" s="733"/>
      <c r="F25" s="733"/>
      <c r="G25" s="733"/>
      <c r="H25" s="733"/>
      <c r="I25" s="44">
        <f>G25-H25</f>
        <v>0</v>
      </c>
      <c r="J25" s="330" t="str">
        <f t="shared" si="5"/>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c r="F27" s="733"/>
      <c r="G27" s="733"/>
      <c r="H27" s="733">
        <f>D27/12*2</f>
        <v>-96815263.499999985</v>
      </c>
      <c r="I27" s="44">
        <f>H27-G27</f>
        <v>-96815263.499999985</v>
      </c>
      <c r="J27" s="330">
        <f t="shared" si="5"/>
        <v>1</v>
      </c>
      <c r="K27" s="735">
        <f>D27</f>
        <v>-580891580.99999988</v>
      </c>
    </row>
    <row r="28" spans="1:11" ht="12.75" customHeight="1" x14ac:dyDescent="0.25">
      <c r="A28" s="92" t="s">
        <v>890</v>
      </c>
      <c r="B28" s="233"/>
      <c r="C28" s="545">
        <f t="shared" ref="C28:H28" si="6">SUM(C22:C25)+C27</f>
        <v>0</v>
      </c>
      <c r="D28" s="74">
        <f>SUM(D22:D25)+D27</f>
        <v>-580891580.99999988</v>
      </c>
      <c r="E28" s="73">
        <f t="shared" si="6"/>
        <v>0</v>
      </c>
      <c r="F28" s="73">
        <f t="shared" si="6"/>
        <v>0</v>
      </c>
      <c r="G28" s="73">
        <f t="shared" si="6"/>
        <v>0</v>
      </c>
      <c r="H28" s="73">
        <f t="shared" si="6"/>
        <v>-96815263.499999985</v>
      </c>
      <c r="I28" s="73">
        <f>H28-G28</f>
        <v>-96815263.499999985</v>
      </c>
      <c r="J28" s="331">
        <f t="shared" si="5"/>
        <v>1</v>
      </c>
      <c r="K28" s="145">
        <f>SUM(K22:K25)+K27</f>
        <v>-580891580.99999988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7">IF(I32=0,"",I32/H32)</f>
        <v/>
      </c>
      <c r="K32" s="735"/>
    </row>
    <row r="33" spans="1:11" ht="12.75" customHeight="1" x14ac:dyDescent="0.25">
      <c r="A33" s="39" t="s">
        <v>958</v>
      </c>
      <c r="B33" s="169"/>
      <c r="C33" s="748"/>
      <c r="D33" s="745"/>
      <c r="E33" s="733"/>
      <c r="F33" s="733"/>
      <c r="G33" s="733"/>
      <c r="H33" s="733"/>
      <c r="I33" s="44">
        <f>G33-H33</f>
        <v>0</v>
      </c>
      <c r="J33" s="330" t="str">
        <f t="shared" si="7"/>
        <v/>
      </c>
      <c r="K33" s="735"/>
    </row>
    <row r="34" spans="1:11" ht="12.75" customHeight="1" x14ac:dyDescent="0.25">
      <c r="A34" s="39" t="s">
        <v>70</v>
      </c>
      <c r="B34" s="169"/>
      <c r="C34" s="748"/>
      <c r="D34" s="745"/>
      <c r="E34" s="733"/>
      <c r="F34" s="733"/>
      <c r="G34" s="733"/>
      <c r="H34" s="733"/>
      <c r="I34" s="44">
        <f>G34-H34</f>
        <v>0</v>
      </c>
      <c r="J34" s="330" t="str">
        <f t="shared" si="7"/>
        <v/>
      </c>
      <c r="K34" s="735"/>
    </row>
    <row r="35" spans="1:11" ht="12.75" customHeight="1" x14ac:dyDescent="0.25">
      <c r="A35" s="87" t="s">
        <v>897</v>
      </c>
      <c r="B35" s="169"/>
      <c r="C35" s="134"/>
      <c r="D35" s="46"/>
      <c r="E35" s="44"/>
      <c r="F35" s="44"/>
      <c r="G35" s="44"/>
      <c r="H35" s="44"/>
      <c r="I35" s="44"/>
      <c r="J35" s="330" t="str">
        <f t="shared" si="7"/>
        <v/>
      </c>
      <c r="K35" s="144"/>
    </row>
    <row r="36" spans="1:11" ht="12.75" customHeight="1" x14ac:dyDescent="0.25">
      <c r="A36" s="39" t="s">
        <v>899</v>
      </c>
      <c r="B36" s="169"/>
      <c r="C36" s="748"/>
      <c r="D36" s="745">
        <v>-79206000</v>
      </c>
      <c r="E36" s="733"/>
      <c r="F36" s="733"/>
      <c r="G36" s="733"/>
      <c r="H36" s="733">
        <f>D36/12*2</f>
        <v>-13201000</v>
      </c>
      <c r="I36" s="44">
        <f>H36-G36</f>
        <v>-13201000</v>
      </c>
      <c r="J36" s="330">
        <f t="shared" si="7"/>
        <v>1</v>
      </c>
      <c r="K36" s="735">
        <f>D36</f>
        <v>-79206000</v>
      </c>
    </row>
    <row r="37" spans="1:11" ht="12.75" customHeight="1" x14ac:dyDescent="0.25">
      <c r="A37" s="92" t="s">
        <v>891</v>
      </c>
      <c r="B37" s="233"/>
      <c r="C37" s="545">
        <f t="shared" ref="C37:H37" si="8">SUM(C32:C34)+C36</f>
        <v>0</v>
      </c>
      <c r="D37" s="74">
        <f t="shared" si="8"/>
        <v>-79206000</v>
      </c>
      <c r="E37" s="73">
        <f t="shared" si="8"/>
        <v>0</v>
      </c>
      <c r="F37" s="73">
        <f t="shared" si="8"/>
        <v>0</v>
      </c>
      <c r="G37" s="73">
        <f t="shared" si="8"/>
        <v>0</v>
      </c>
      <c r="H37" s="73">
        <f t="shared" si="8"/>
        <v>-13201000</v>
      </c>
      <c r="I37" s="73">
        <f>H37-G37</f>
        <v>-13201000</v>
      </c>
      <c r="J37" s="331">
        <f t="shared" si="7"/>
        <v>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9">C18+C28+C37</f>
        <v>0</v>
      </c>
      <c r="D39" s="51">
        <f t="shared" si="9"/>
        <v>92435849.432561994</v>
      </c>
      <c r="E39" s="50">
        <f t="shared" si="9"/>
        <v>0</v>
      </c>
      <c r="F39" s="50">
        <f t="shared" si="9"/>
        <v>0</v>
      </c>
      <c r="G39" s="50">
        <f t="shared" si="9"/>
        <v>0</v>
      </c>
      <c r="H39" s="50">
        <f t="shared" si="9"/>
        <v>15405974.905426994</v>
      </c>
      <c r="I39" s="327"/>
      <c r="J39" s="327"/>
      <c r="K39" s="194">
        <f>K18+K28+K37</f>
        <v>92435849.432561994</v>
      </c>
    </row>
    <row r="40" spans="1:11" ht="12.75" customHeight="1" x14ac:dyDescent="0.25">
      <c r="A40" s="39" t="s">
        <v>505</v>
      </c>
      <c r="B40" s="169"/>
      <c r="C40" s="748"/>
      <c r="D40" s="745">
        <v>290000000</v>
      </c>
      <c r="E40" s="733"/>
      <c r="F40" s="273"/>
      <c r="G40" s="733"/>
      <c r="H40" s="44">
        <f>IF(E40=0, D40, E40)</f>
        <v>290000000</v>
      </c>
      <c r="I40" s="273"/>
      <c r="J40" s="273"/>
      <c r="K40" s="385">
        <f>G40</f>
        <v>0</v>
      </c>
    </row>
    <row r="41" spans="1:11" ht="12.75" customHeight="1" x14ac:dyDescent="0.25">
      <c r="A41" s="129" t="s">
        <v>55</v>
      </c>
      <c r="B41" s="119"/>
      <c r="C41" s="225">
        <f>C39+C40</f>
        <v>0</v>
      </c>
      <c r="D41" s="116">
        <f>D39+D40</f>
        <v>382435849.43256199</v>
      </c>
      <c r="E41" s="115">
        <f>E39+E40</f>
        <v>0</v>
      </c>
      <c r="F41" s="274"/>
      <c r="G41" s="115">
        <f>G39+G40</f>
        <v>0</v>
      </c>
      <c r="H41" s="115">
        <f>H39+H40</f>
        <v>305405974.90542698</v>
      </c>
      <c r="I41" s="274"/>
      <c r="J41" s="274"/>
      <c r="K41" s="190">
        <f>K39+K40</f>
        <v>92435849.432561994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3" t="str">
        <f>muni&amp; " - "&amp;S71G&amp; " - "&amp;date</f>
        <v>KZN225 Msunduzi - Supporting Table SC1 Material variance explanations  - M02 August</v>
      </c>
      <c r="B1" s="1053"/>
      <c r="C1" s="1053"/>
      <c r="D1" s="1053"/>
      <c r="E1" s="1053"/>
    </row>
    <row r="2" spans="1:5" x14ac:dyDescent="0.25">
      <c r="A2" s="1035" t="str">
        <f>head27</f>
        <v>Ref</v>
      </c>
      <c r="B2" s="1042" t="str">
        <f>desc</f>
        <v>Description</v>
      </c>
      <c r="C2" s="269"/>
      <c r="D2" s="269"/>
      <c r="E2" s="275"/>
    </row>
    <row r="3" spans="1:5" x14ac:dyDescent="0.25">
      <c r="A3" s="1046"/>
      <c r="B3" s="1043"/>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c r="C6" s="748"/>
      <c r="D6" s="758"/>
      <c r="E6" s="758"/>
    </row>
    <row r="7" spans="1:5" ht="11.25" customHeight="1" x14ac:dyDescent="0.25">
      <c r="A7" s="169"/>
      <c r="B7" s="758"/>
      <c r="C7" s="748"/>
      <c r="D7" s="758"/>
      <c r="E7" s="758"/>
    </row>
    <row r="8" spans="1:5" ht="11.25" customHeight="1" x14ac:dyDescent="0.25">
      <c r="A8" s="169"/>
      <c r="B8" s="758"/>
      <c r="C8" s="748"/>
      <c r="D8" s="758"/>
      <c r="E8" s="758"/>
    </row>
    <row r="9" spans="1:5" ht="11.25" customHeight="1" x14ac:dyDescent="0.25">
      <c r="A9" s="169"/>
      <c r="B9" s="758"/>
      <c r="C9" s="748"/>
      <c r="D9" s="758"/>
      <c r="E9" s="758"/>
    </row>
    <row r="10" spans="1:5" ht="11.25" customHeight="1" x14ac:dyDescent="0.25">
      <c r="A10" s="169">
        <v>2</v>
      </c>
      <c r="B10" s="386" t="str">
        <f>'C4-FinPerf RE'!A24</f>
        <v>Expenditure By Type</v>
      </c>
      <c r="C10" s="387"/>
      <c r="D10" s="387"/>
      <c r="E10" s="387"/>
    </row>
    <row r="11" spans="1:5" ht="11.25" customHeight="1" x14ac:dyDescent="0.25">
      <c r="A11" s="169"/>
      <c r="B11" s="758"/>
      <c r="C11" s="748"/>
      <c r="D11" s="758"/>
      <c r="E11" s="758"/>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c r="B14" s="758"/>
      <c r="C14" s="748"/>
      <c r="D14" s="758"/>
      <c r="E14" s="758"/>
    </row>
    <row r="15" spans="1:5" ht="11.25" customHeight="1" x14ac:dyDescent="0.25">
      <c r="A15" s="169">
        <v>3</v>
      </c>
      <c r="B15" s="386" t="str">
        <f>RIGHT('C5-Capex'!A40,19)</f>
        <v>Capital Expenditure</v>
      </c>
      <c r="C15" s="387"/>
      <c r="D15" s="387"/>
      <c r="E15" s="387"/>
    </row>
    <row r="16" spans="1:5" ht="11.25" customHeight="1" x14ac:dyDescent="0.25">
      <c r="A16" s="169"/>
      <c r="B16" s="758"/>
      <c r="C16" s="748"/>
      <c r="D16" s="758"/>
      <c r="E16" s="758"/>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41" activePane="bottomRight" state="frozen"/>
      <selection pane="topRight"/>
      <selection pane="bottomLeft"/>
      <selection pane="bottomRight" sqref="A1:H1"/>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3" t="str">
        <f>muni&amp; " - "&amp;S71H&amp; " - "&amp;Head57</f>
        <v>KZN225 Msunduzi - Supporting Table SC2 Monthly Budget Statement - performance indicators   - M02 August</v>
      </c>
      <c r="B1" s="1053"/>
      <c r="C1" s="1053"/>
      <c r="D1" s="1053"/>
      <c r="E1" s="1053"/>
      <c r="F1" s="1053"/>
      <c r="G1" s="1053"/>
      <c r="H1" s="1053"/>
    </row>
    <row r="2" spans="1:11" ht="12.75" x14ac:dyDescent="0.25">
      <c r="A2" s="1058" t="s">
        <v>554</v>
      </c>
      <c r="B2" s="1042" t="s">
        <v>772</v>
      </c>
      <c r="C2" s="1035" t="str">
        <f>head27</f>
        <v>Ref</v>
      </c>
      <c r="D2" s="138" t="str">
        <f>Head1</f>
        <v>2019/20</v>
      </c>
      <c r="E2" s="245" t="str">
        <f>Head2</f>
        <v>Budget Year 2020/21</v>
      </c>
      <c r="F2" s="229"/>
      <c r="G2" s="229"/>
      <c r="H2" s="230"/>
    </row>
    <row r="3" spans="1:11" ht="25.5" x14ac:dyDescent="0.25">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0</v>
      </c>
      <c r="G7" s="124">
        <f>IF(ISERROR((G42+G44)/G45),0,((G42+G44)/G45))</f>
        <v>9.9037263891411653E-3</v>
      </c>
      <c r="H7" s="276">
        <f>IF(ISERROR((H42+H44)/H45),0,((H42+H44)/H45))</f>
        <v>1.5488799475244324E-2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v>
      </c>
      <c r="G10" s="124">
        <f>IF(ISERROR(G48/G49),0,(G48/G49))</f>
        <v>0.15660698316511054</v>
      </c>
      <c r="H10" s="276">
        <f>IF(ISERROR(H48/H49),0,(H48/H49))</f>
        <v>0.16733458655357425</v>
      </c>
    </row>
    <row r="11" spans="1:11" ht="12.75" customHeight="1" x14ac:dyDescent="0.25">
      <c r="A11" s="126" t="s">
        <v>735</v>
      </c>
      <c r="B11" s="123" t="s">
        <v>719</v>
      </c>
      <c r="C11" s="174"/>
      <c r="D11" s="120">
        <f>IF(ISERROR(D51/D50),0,(D51/D50))</f>
        <v>0</v>
      </c>
      <c r="E11" s="282">
        <f>IF(ISERROR(E51/E50),0,(E51/E50))</f>
        <v>1.2322813430054802</v>
      </c>
      <c r="F11" s="124">
        <f>IF(ISERROR(F51/F50),0,(F51/F50))</f>
        <v>0</v>
      </c>
      <c r="G11" s="124">
        <f>IF(ISERROR(G51/G50),0,(G51/G50))</f>
        <v>1.5034627620619789</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0</v>
      </c>
      <c r="G13" s="124">
        <f>IF(ISERROR(G52/G53),0,(G52/G53))</f>
        <v>1.9751502447179485</v>
      </c>
      <c r="H13" s="276">
        <f>IF(ISERROR(H52/H53),0,(H52/H53))</f>
        <v>2.0616681210508312</v>
      </c>
    </row>
    <row r="14" spans="1:11" ht="12.75" customHeight="1" x14ac:dyDescent="0.25">
      <c r="A14" s="126" t="s">
        <v>738</v>
      </c>
      <c r="B14" s="123" t="s">
        <v>436</v>
      </c>
      <c r="C14" s="174"/>
      <c r="D14" s="120">
        <f>IF(ISERROR(D54/D53),0,(D54/D53))</f>
        <v>0</v>
      </c>
      <c r="E14" s="282">
        <f>IF(ISERROR(E54/E53),0,(E54/E53))</f>
        <v>0.26526391167695329</v>
      </c>
      <c r="F14" s="124">
        <f>IF(ISERROR(F54/F53),0,(F54/F53))</f>
        <v>0</v>
      </c>
      <c r="G14" s="124">
        <f>IF(ISERROR(G54/G53),0,(G54/G53))</f>
        <v>0.25265129282387816</v>
      </c>
      <c r="H14" s="276">
        <f>IF(ISERROR(H54/H53),0,(H54/H53))</f>
        <v>0.26526391167695329</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v>
      </c>
      <c r="G17" s="124">
        <f>IF(ISERROR(G59/G55),0,(G59/G55))</f>
        <v>1.9247422754010859</v>
      </c>
      <c r="H17" s="276">
        <f>IF(ISERROR(H59/H55),0,(H59/H55))</f>
        <v>0.43153265012765485</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v>
      </c>
      <c r="G26" s="124">
        <f>IF(ISERROR(G40/G55),0,(G40/G55))</f>
        <v>0.19516067304142712</v>
      </c>
      <c r="H26" s="276">
        <f>IF(ISERROR(H40/H55),0,(H40/H55))</f>
        <v>0.2498093445303802</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0</v>
      </c>
      <c r="G28" s="124">
        <f>IF(ISERROR((G42+G44)/G55),0,((G42+G44)/G55))</f>
        <v>6.6144816062295789E-3</v>
      </c>
      <c r="H28" s="276">
        <f>IF(ISERROR((H42+H44)/H55),0,((H42+H44)/H55))</f>
        <v>1.4438383390515119E-2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0</v>
      </c>
      <c r="G38" s="97">
        <f>'C6-FinPos'!F38</f>
        <v>285317995.64999998</v>
      </c>
      <c r="H38" s="48">
        <v>0</v>
      </c>
    </row>
    <row r="39" spans="1:9" ht="12.75" customHeight="1" x14ac:dyDescent="0.25">
      <c r="A39" s="42" t="s">
        <v>528</v>
      </c>
      <c r="B39" s="67"/>
      <c r="C39" s="67"/>
      <c r="D39" s="84">
        <f>'C6-FinPos'!C26</f>
        <v>0</v>
      </c>
      <c r="E39" s="84">
        <f>'C6-FinPos'!D26</f>
        <v>11312770417.220949</v>
      </c>
      <c r="F39" s="84">
        <f>'C6-FinPos'!E26</f>
        <v>0</v>
      </c>
      <c r="G39" s="97">
        <f>'C6-FinPos'!F26</f>
        <v>10821076808.700001</v>
      </c>
      <c r="H39" s="48">
        <f>'C6-FinPos'!G26</f>
        <v>11312770417.220949</v>
      </c>
    </row>
    <row r="40" spans="1:9" ht="12.75" customHeight="1" x14ac:dyDescent="0.25">
      <c r="A40" s="42" t="str">
        <f>'C4-FinPerf RE'!A25</f>
        <v>Employee related costs</v>
      </c>
      <c r="B40" s="67"/>
      <c r="C40" s="67"/>
      <c r="D40" s="84">
        <f>'C4-FinPerf RE'!C25</f>
        <v>0</v>
      </c>
      <c r="E40" s="84">
        <f>'C4-FinPerf RE'!D25</f>
        <v>1478324301.5741799</v>
      </c>
      <c r="F40" s="84">
        <f>'C4-FinPerf RE'!E25</f>
        <v>0</v>
      </c>
      <c r="G40" s="97">
        <f>'C4-FinPerf RE'!G25</f>
        <v>215080592.71000004</v>
      </c>
      <c r="H40" s="48">
        <f>'C4-FinPerf RE'!K25</f>
        <v>1478324301.5741799</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0</v>
      </c>
      <c r="G42" s="97">
        <f>'C4-FinPerf RE'!G29</f>
        <v>7289617.3300000001</v>
      </c>
      <c r="H42" s="48">
        <f>'C4-FinPerf RE'!K29</f>
        <v>31793212.220000003</v>
      </c>
    </row>
    <row r="43" spans="1:9" ht="12.75" customHeight="1" x14ac:dyDescent="0.25">
      <c r="A43" s="42" t="s">
        <v>84</v>
      </c>
      <c r="B43" s="67"/>
      <c r="C43" s="67"/>
      <c r="D43" s="84">
        <f>-'C7-CFlow'!C36</f>
        <v>0</v>
      </c>
      <c r="E43" s="84">
        <f>-'C7-CFlow'!D36</f>
        <v>79206000</v>
      </c>
      <c r="F43" s="84">
        <f>-'C7-CFlow'!E36</f>
        <v>0</v>
      </c>
      <c r="G43" s="97">
        <f>-'C7-CFlow'!G36</f>
        <v>0</v>
      </c>
      <c r="H43" s="48">
        <f>-'C7-CFlow'!K36</f>
        <v>79206000</v>
      </c>
    </row>
    <row r="44" spans="1:9" ht="12.75" customHeight="1" x14ac:dyDescent="0.25">
      <c r="A44" s="42" t="s">
        <v>530</v>
      </c>
      <c r="B44" s="67"/>
      <c r="C44" s="67"/>
      <c r="D44" s="84">
        <f>'C4-FinPerf RE'!C28</f>
        <v>0</v>
      </c>
      <c r="E44" s="84">
        <f>'C4-FinPerf RE'!D28</f>
        <v>489941448.27473986</v>
      </c>
      <c r="F44" s="84">
        <f>'C4-FinPerf RE'!E28</f>
        <v>0</v>
      </c>
      <c r="G44" s="97"/>
      <c r="H44" s="48">
        <f>'C4-FinPerf RE'!K26</f>
        <v>53650401.115479976</v>
      </c>
    </row>
    <row r="45" spans="1:9" ht="12.75" customHeight="1" x14ac:dyDescent="0.25">
      <c r="A45" s="42" t="s">
        <v>0</v>
      </c>
      <c r="B45" s="67"/>
      <c r="C45" s="67"/>
      <c r="D45" s="84">
        <f>'C4-FinPerf RE'!C36</f>
        <v>0</v>
      </c>
      <c r="E45" s="84">
        <f>'C4-FinPerf RE'!D36</f>
        <v>5516477469.5446281</v>
      </c>
      <c r="F45" s="84">
        <f>'C4-FinPerf RE'!E36</f>
        <v>0</v>
      </c>
      <c r="G45" s="97">
        <f>'C4-FinPerf RE'!G36</f>
        <v>736047932.21999979</v>
      </c>
      <c r="H45" s="48">
        <f>'C4-FinPerf RE'!K36</f>
        <v>5516477469.5446281</v>
      </c>
    </row>
    <row r="46" spans="1:9" ht="12.75" customHeight="1" x14ac:dyDescent="0.25">
      <c r="A46" s="42" t="str">
        <f>'C5-Capex'!A40</f>
        <v>Total Capital Expenditure</v>
      </c>
      <c r="B46" s="67"/>
      <c r="C46" s="67"/>
      <c r="D46" s="84">
        <f>'C5-Capex'!C40</f>
        <v>0</v>
      </c>
      <c r="E46" s="84">
        <f>'C5-Capex'!D40</f>
        <v>580891581</v>
      </c>
      <c r="F46" s="84">
        <f>'C5-Capex'!E40</f>
        <v>0</v>
      </c>
      <c r="G46" s="97">
        <f>'C5-Capex'!G40</f>
        <v>29230038.23</v>
      </c>
      <c r="H46" s="48">
        <f>'C5-Capex'!K40</f>
        <v>580891581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0</v>
      </c>
      <c r="G48" s="84">
        <f>'C6-FinPos'!F30+'C6-FinPos'!F31+'C6-FinPos'!F33+'C6-FinPos'!F38</f>
        <v>1336747640.1199999</v>
      </c>
      <c r="H48" s="48">
        <f>'C6-FinPos'!G30+'C6-FinPos'!G31+'C6-FinPos'!G33+'C6-FinPos'!G38</f>
        <v>1469061645.9769487</v>
      </c>
    </row>
    <row r="49" spans="1:8" ht="12.75" customHeight="1" x14ac:dyDescent="0.25">
      <c r="A49" s="42" t="s">
        <v>532</v>
      </c>
      <c r="B49" s="67"/>
      <c r="C49" s="67"/>
      <c r="D49" s="84">
        <f>'C6-FinPos'!C48</f>
        <v>0</v>
      </c>
      <c r="E49" s="84">
        <f>'C6-FinPos'!D48</f>
        <v>8779187113.8762474</v>
      </c>
      <c r="F49" s="84">
        <f>'C6-FinPos'!E48</f>
        <v>0</v>
      </c>
      <c r="G49" s="97">
        <f>'C6-FinPos'!F48</f>
        <v>8535683486.8000011</v>
      </c>
      <c r="H49" s="48">
        <f>'C6-FinPos'!G48</f>
        <v>8779187113.8762474</v>
      </c>
    </row>
    <row r="50" spans="1:8" ht="12.75" customHeight="1" x14ac:dyDescent="0.25">
      <c r="A50" s="42" t="str">
        <f>'C6-FinPos'!A47</f>
        <v>Reserves</v>
      </c>
      <c r="B50" s="67"/>
      <c r="C50" s="67"/>
      <c r="D50" s="84">
        <f>'C6-FinPos'!C47</f>
        <v>0</v>
      </c>
      <c r="E50" s="84">
        <f>'C6-FinPos'!D47</f>
        <v>228913258</v>
      </c>
      <c r="F50" s="84">
        <f>'C6-FinPos'!E47</f>
        <v>0</v>
      </c>
      <c r="G50" s="97">
        <f>'C6-FinPos'!F47</f>
        <v>189773902.52000001</v>
      </c>
      <c r="H50" s="48">
        <f>'C6-FinPos'!G47</f>
        <v>228913258</v>
      </c>
    </row>
    <row r="51" spans="1:8" ht="12.75" customHeight="1" x14ac:dyDescent="0.25">
      <c r="A51" s="42" t="str">
        <f>'C6-FinPos'!A38</f>
        <v>Borrowing</v>
      </c>
      <c r="B51" s="67"/>
      <c r="C51" s="67"/>
      <c r="D51" s="84">
        <f>'C6-FinPos'!C38</f>
        <v>0</v>
      </c>
      <c r="E51" s="84">
        <f>'C6-FinPos'!D38</f>
        <v>282085537</v>
      </c>
      <c r="F51" s="84">
        <f>'C6-FinPos'!E38</f>
        <v>0</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0</v>
      </c>
      <c r="G52" s="97">
        <f>'C6-FinPos'!F13</f>
        <v>2823676649.670001</v>
      </c>
      <c r="H52" s="48">
        <f>'C6-FinPos'!G13</f>
        <v>2972344764.6444831</v>
      </c>
    </row>
    <row r="53" spans="1:8" ht="12.75" customHeight="1" x14ac:dyDescent="0.25">
      <c r="A53" s="42" t="str">
        <f>'C6-FinPos'!A29</f>
        <v>Current liabilities</v>
      </c>
      <c r="B53" s="67"/>
      <c r="C53" s="67"/>
      <c r="D53" s="84">
        <f>'C6-FinPos'!C35</f>
        <v>0</v>
      </c>
      <c r="E53" s="84">
        <f>'C6-FinPos'!D35</f>
        <v>1441718351.4141357</v>
      </c>
      <c r="F53" s="84">
        <f>'C6-FinPos'!E35</f>
        <v>0</v>
      </c>
      <c r="G53" s="97">
        <f>'C6-FinPos'!F35</f>
        <v>1429600941.6099999</v>
      </c>
      <c r="H53" s="48">
        <f>'C6-FinPos'!G35</f>
        <v>1441718351.4141357</v>
      </c>
    </row>
    <row r="54" spans="1:8" ht="12.75" customHeight="1" x14ac:dyDescent="0.25">
      <c r="A54" s="42" t="s">
        <v>534</v>
      </c>
      <c r="B54" s="67"/>
      <c r="C54" s="67"/>
      <c r="D54" s="84">
        <f>'C6-FinPos'!C7+'C6-FinPos'!C8</f>
        <v>0</v>
      </c>
      <c r="E54" s="84">
        <f>'C6-FinPos'!D7+'C6-FinPos'!D8</f>
        <v>382435849.43256199</v>
      </c>
      <c r="F54" s="84">
        <f>'C6-FinPos'!E7+'C6-FinPos'!E8</f>
        <v>0</v>
      </c>
      <c r="G54" s="97">
        <f>'C6-FinPos'!F7+'C6-FinPos'!F8</f>
        <v>361190526.12</v>
      </c>
      <c r="H54" s="48">
        <f>'C6-FinPos'!G7+'C6-FinPos'!G8</f>
        <v>382435849.43256199</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0</v>
      </c>
      <c r="G55" s="97">
        <f>'C4-FinPerf RE'!G22</f>
        <v>1102069332.7099998</v>
      </c>
      <c r="H55" s="48">
        <f>'C4-FinPerf RE'!K22</f>
        <v>5917810257.8720617</v>
      </c>
    </row>
    <row r="56" spans="1:8" ht="12.75" customHeight="1" x14ac:dyDescent="0.25">
      <c r="A56" s="42" t="str">
        <f>'C4-FinPerf RE'!A19</f>
        <v>Transfers and subsidies</v>
      </c>
      <c r="B56" s="67"/>
      <c r="C56" s="67"/>
      <c r="D56" s="84">
        <f>'C4-FinPerf RE'!C19</f>
        <v>0</v>
      </c>
      <c r="E56" s="84">
        <f>'C4-FinPerf RE'!D19</f>
        <v>675483240</v>
      </c>
      <c r="F56" s="84">
        <f>'C4-FinPerf RE'!E19</f>
        <v>0</v>
      </c>
      <c r="G56" s="97">
        <f>'C4-FinPerf RE'!G19</f>
        <v>274341991.08999997</v>
      </c>
      <c r="H56" s="48">
        <f>'C4-FinPerf RE'!K19</f>
        <v>675483240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0</v>
      </c>
      <c r="G57" s="97">
        <f>'C4-FinPerf RE'!G39</f>
        <v>28148168.810000002</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0</v>
      </c>
      <c r="G58" s="97">
        <f>'C7-CFlow'!G16+'C7-CFlow'!G36</f>
        <v>0</v>
      </c>
      <c r="H58" s="48">
        <f>'C7-CFlow'!K16+'C7-CFlow'!K36</f>
        <v>-110999212.22</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0</v>
      </c>
      <c r="G59" s="97">
        <f>'C6-FinPos'!F9+'C6-FinPos'!F10+'C6-FinPos'!F11+'C6-FinPos'!F16</f>
        <v>2121199435.0900013</v>
      </c>
      <c r="H59" s="48">
        <f>'C6-FinPos'!G9+'C6-FinPos'!G10+'C6-FinPos'!G11+'C6-FinPos'!G16</f>
        <v>2553728343.5321512</v>
      </c>
    </row>
    <row r="60" spans="1:8" ht="12.75" customHeight="1" x14ac:dyDescent="0.25">
      <c r="A60" s="42" t="s">
        <v>447</v>
      </c>
      <c r="B60" s="67"/>
      <c r="C60" s="67"/>
      <c r="D60" s="84">
        <f>SUM('C4-FinPerf RE'!C7:C11)</f>
        <v>0</v>
      </c>
      <c r="E60" s="84">
        <f>SUM('C4-FinPerf RE'!D7:D11)</f>
        <v>3575763602.2929115</v>
      </c>
      <c r="F60" s="84">
        <f>SUM('C4-FinPerf RE'!E7:E11)</f>
        <v>0</v>
      </c>
      <c r="G60" s="97">
        <f>SUM('C4-FinPerf RE'!G7:G11)</f>
        <v>595225761.65999997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0</v>
      </c>
      <c r="G61" s="97">
        <f>'C6-FinPos'!F7+'C6-FinPos'!F8+'C6-FinPos'!F17-'C6-FinPos'!F30</f>
        <v>361190526.12</v>
      </c>
      <c r="H61" s="48">
        <f>'C6-FinPos'!G7+'C6-FinPos'!G8+'C6-FinPos'!G17-'C6-FinPos'!G30</f>
        <v>385405520.86176199</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392795.70999999903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K4" activePane="bottomRight" state="frozen"/>
      <selection pane="topRight"/>
      <selection pane="bottomLeft"/>
      <selection pane="bottomRight" activeCell="O21" sqref="O21"/>
    </sheetView>
  </sheetViews>
  <sheetFormatPr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3" t="str">
        <f>muni&amp; " - "&amp;S71I&amp; " - "&amp;Head57</f>
        <v>KZN225 Msunduzi - Supporting Table SC3 Monthly Budget Statement - aged debtors - M02 August</v>
      </c>
      <c r="B1" s="1053"/>
      <c r="C1" s="1060"/>
      <c r="D1" s="1060"/>
      <c r="E1" s="1060"/>
      <c r="F1" s="1060"/>
      <c r="G1" s="1060"/>
      <c r="H1" s="1060"/>
      <c r="I1" s="1060"/>
      <c r="J1" s="1060"/>
      <c r="K1" s="1060"/>
      <c r="L1" s="1060"/>
      <c r="M1" s="1060"/>
      <c r="N1" s="162"/>
      <c r="O1" s="406"/>
    </row>
    <row r="2" spans="1:16" ht="13.35" customHeight="1" x14ac:dyDescent="0.25">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131132322.52</v>
      </c>
      <c r="D5" s="733">
        <v>30378028</v>
      </c>
      <c r="E5" s="733">
        <v>30429996.710000001</v>
      </c>
      <c r="F5" s="733">
        <v>24058311.289999999</v>
      </c>
      <c r="G5" s="733">
        <v>29050239.68</v>
      </c>
      <c r="H5" s="733">
        <v>31219666.239999998</v>
      </c>
      <c r="I5" s="733">
        <v>189667027.77000001</v>
      </c>
      <c r="J5" s="744">
        <v>1211323266.1099999</v>
      </c>
      <c r="K5" s="134">
        <f>SUM(C5:J5)</f>
        <v>1677258858.3199999</v>
      </c>
      <c r="L5" s="134">
        <f>SUM(F5:J5)</f>
        <v>1485318511.0899999</v>
      </c>
      <c r="M5" s="747"/>
      <c r="N5" s="747">
        <v>932019201.70000005</v>
      </c>
      <c r="O5" s="912"/>
    </row>
    <row r="6" spans="1:16" ht="12.75" customHeight="1" x14ac:dyDescent="0.25">
      <c r="A6" s="39" t="s">
        <v>1079</v>
      </c>
      <c r="B6" s="169">
        <v>1300</v>
      </c>
      <c r="C6" s="745">
        <v>273547327.24000001</v>
      </c>
      <c r="D6" s="733">
        <v>17838637.219999999</v>
      </c>
      <c r="E6" s="733">
        <v>6186735.2800000003</v>
      </c>
      <c r="F6" s="733">
        <v>8138968.6200000001</v>
      </c>
      <c r="G6" s="733">
        <v>7470015.4900000002</v>
      </c>
      <c r="H6" s="733">
        <v>6897548.2199999997</v>
      </c>
      <c r="I6" s="733">
        <v>30615809.399999999</v>
      </c>
      <c r="J6" s="744">
        <v>108692391.70999999</v>
      </c>
      <c r="K6" s="134">
        <f>SUM(C6:J6)</f>
        <v>459387433.18000001</v>
      </c>
      <c r="L6" s="134">
        <f t="shared" ref="L6:L12" si="0">SUM(F6:J6)</f>
        <v>161814733.44</v>
      </c>
      <c r="M6" s="747"/>
      <c r="N6" s="747">
        <v>81718579.530000001</v>
      </c>
      <c r="O6" s="912"/>
    </row>
    <row r="7" spans="1:16" ht="12.75" customHeight="1" x14ac:dyDescent="0.25">
      <c r="A7" s="39" t="s">
        <v>1078</v>
      </c>
      <c r="B7" s="169">
        <v>1400</v>
      </c>
      <c r="C7" s="745">
        <v>159131381.56999999</v>
      </c>
      <c r="D7" s="733">
        <v>32156575.010000002</v>
      </c>
      <c r="E7" s="733">
        <v>27729936</v>
      </c>
      <c r="F7" s="733">
        <v>24919190.170000002</v>
      </c>
      <c r="G7" s="733">
        <v>25236295.719999999</v>
      </c>
      <c r="H7" s="733">
        <v>21468239.399999999</v>
      </c>
      <c r="I7" s="733">
        <v>125594418.98999999</v>
      </c>
      <c r="J7" s="744">
        <v>504029467.38</v>
      </c>
      <c r="K7" s="134">
        <f t="shared" ref="K7:K13" si="1">SUM(C7:J7)</f>
        <v>920265504.24000001</v>
      </c>
      <c r="L7" s="134">
        <f t="shared" si="0"/>
        <v>701247611.65999997</v>
      </c>
      <c r="M7" s="747"/>
      <c r="N7" s="747">
        <v>385674767.19</v>
      </c>
      <c r="O7" s="912"/>
    </row>
    <row r="8" spans="1:16" ht="12.75" customHeight="1" x14ac:dyDescent="0.25">
      <c r="A8" s="39" t="s">
        <v>1080</v>
      </c>
      <c r="B8" s="169">
        <v>1500</v>
      </c>
      <c r="C8" s="745">
        <v>25936372.48</v>
      </c>
      <c r="D8" s="733">
        <v>6311601.5199999996</v>
      </c>
      <c r="E8" s="733">
        <v>6552353.1500000004</v>
      </c>
      <c r="F8" s="733">
        <v>4954767.49</v>
      </c>
      <c r="G8" s="733">
        <v>4818039.41</v>
      </c>
      <c r="H8" s="733">
        <v>5047419.5199999996</v>
      </c>
      <c r="I8" s="733">
        <v>29504489.899999999</v>
      </c>
      <c r="J8" s="744">
        <v>225091927.00999999</v>
      </c>
      <c r="K8" s="134">
        <f t="shared" si="1"/>
        <v>308216970.48000002</v>
      </c>
      <c r="L8" s="134">
        <f t="shared" si="0"/>
        <v>269416643.32999998</v>
      </c>
      <c r="M8" s="747"/>
      <c r="N8" s="747">
        <v>181261913.66</v>
      </c>
      <c r="O8" s="912"/>
    </row>
    <row r="9" spans="1:16" ht="12.75" customHeight="1" x14ac:dyDescent="0.25">
      <c r="A9" s="39" t="s">
        <v>1081</v>
      </c>
      <c r="B9" s="169">
        <v>1600</v>
      </c>
      <c r="C9" s="745">
        <v>14827068.83</v>
      </c>
      <c r="D9" s="733">
        <v>2625541.61</v>
      </c>
      <c r="E9" s="733">
        <v>3063252.65</v>
      </c>
      <c r="F9" s="733">
        <v>2805198.79</v>
      </c>
      <c r="G9" s="733">
        <v>2729101.75</v>
      </c>
      <c r="H9" s="733">
        <v>3460711.59</v>
      </c>
      <c r="I9" s="733">
        <v>18174773.82</v>
      </c>
      <c r="J9" s="744">
        <v>127987669.09</v>
      </c>
      <c r="K9" s="134">
        <f t="shared" si="1"/>
        <v>175673318.13</v>
      </c>
      <c r="L9" s="134">
        <f>SUM(F9:J9)</f>
        <v>155157455.03999999</v>
      </c>
      <c r="M9" s="747"/>
      <c r="N9" s="747">
        <v>99529774.5</v>
      </c>
      <c r="O9" s="912"/>
    </row>
    <row r="10" spans="1:16" ht="12.75" customHeight="1" x14ac:dyDescent="0.25">
      <c r="A10" s="39" t="s">
        <v>1082</v>
      </c>
      <c r="B10" s="169">
        <v>1700</v>
      </c>
      <c r="C10" s="745">
        <v>3234527.09</v>
      </c>
      <c r="D10" s="733">
        <v>962614.17</v>
      </c>
      <c r="E10" s="733">
        <v>1710992.11</v>
      </c>
      <c r="F10" s="733">
        <v>2485462.71</v>
      </c>
      <c r="G10" s="733">
        <v>591767.12</v>
      </c>
      <c r="H10" s="733">
        <v>642944.15</v>
      </c>
      <c r="I10" s="733">
        <v>8786244.5299999993</v>
      </c>
      <c r="J10" s="744">
        <v>37306448.770000003</v>
      </c>
      <c r="K10" s="134">
        <f t="shared" si="1"/>
        <v>55721000.650000006</v>
      </c>
      <c r="L10" s="134">
        <f>SUM(F10:J10)</f>
        <v>49812867.280000001</v>
      </c>
      <c r="M10" s="747"/>
      <c r="N10" s="747">
        <v>32165582.68</v>
      </c>
      <c r="O10" s="912"/>
    </row>
    <row r="11" spans="1:16" ht="12.75" customHeight="1" x14ac:dyDescent="0.25">
      <c r="A11" s="39" t="s">
        <v>1083</v>
      </c>
      <c r="B11" s="169">
        <v>1810</v>
      </c>
      <c r="C11" s="745">
        <v>39536501.909999996</v>
      </c>
      <c r="D11" s="733">
        <v>34703676.810000002</v>
      </c>
      <c r="E11" s="733">
        <v>24592545.440000001</v>
      </c>
      <c r="F11" s="733">
        <v>-15779.51</v>
      </c>
      <c r="G11" s="733">
        <v>23817276.949999999</v>
      </c>
      <c r="H11" s="733">
        <v>23631425.07</v>
      </c>
      <c r="I11" s="733">
        <v>139466974.25</v>
      </c>
      <c r="J11" s="744">
        <v>407640690.31999999</v>
      </c>
      <c r="K11" s="134">
        <f t="shared" si="1"/>
        <v>693373311.24000001</v>
      </c>
      <c r="L11" s="134">
        <f t="shared" si="0"/>
        <v>594540587.07999992</v>
      </c>
      <c r="M11" s="747"/>
      <c r="N11" s="747">
        <v>173135915.33000001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621016.46</v>
      </c>
      <c r="D13" s="733">
        <v>840104.41</v>
      </c>
      <c r="E13" s="733">
        <v>0</v>
      </c>
      <c r="F13" s="733">
        <v>0</v>
      </c>
      <c r="G13" s="733">
        <v>28883.61</v>
      </c>
      <c r="H13" s="733">
        <v>162197.73000000001</v>
      </c>
      <c r="I13" s="733">
        <v>370016.33</v>
      </c>
      <c r="J13" s="744">
        <v>320146397.51999998</v>
      </c>
      <c r="K13" s="134">
        <f t="shared" si="1"/>
        <v>322168616.06</v>
      </c>
      <c r="L13" s="134">
        <f>SUM(F13:J13)</f>
        <v>320707495.19</v>
      </c>
      <c r="M13" s="747"/>
      <c r="N13" s="747">
        <v>319346586.02999997</v>
      </c>
      <c r="O13" s="912"/>
    </row>
    <row r="14" spans="1:16" ht="12.75" customHeight="1" x14ac:dyDescent="0.25">
      <c r="A14" s="53" t="s">
        <v>1085</v>
      </c>
      <c r="B14" s="284">
        <v>2000</v>
      </c>
      <c r="C14" s="56">
        <f t="shared" ref="C14:N14" si="2">SUM(C5:C13)</f>
        <v>647966518.10000002</v>
      </c>
      <c r="D14" s="55">
        <f t="shared" si="2"/>
        <v>125816778.75</v>
      </c>
      <c r="E14" s="55">
        <f t="shared" si="2"/>
        <v>100265811.34</v>
      </c>
      <c r="F14" s="55">
        <f t="shared" si="2"/>
        <v>67346119.559999987</v>
      </c>
      <c r="G14" s="55">
        <f t="shared" si="2"/>
        <v>93741619.730000004</v>
      </c>
      <c r="H14" s="55">
        <f t="shared" si="2"/>
        <v>92530151.920000002</v>
      </c>
      <c r="I14" s="55">
        <f t="shared" si="2"/>
        <v>542179754.99000001</v>
      </c>
      <c r="J14" s="83">
        <f t="shared" si="2"/>
        <v>2942218257.9099998</v>
      </c>
      <c r="K14" s="112">
        <f t="shared" si="2"/>
        <v>4612065012.3000002</v>
      </c>
      <c r="L14" s="112">
        <f>SUM(L5:L13)</f>
        <v>3738015904.1100001</v>
      </c>
      <c r="M14" s="54">
        <f t="shared" si="2"/>
        <v>0</v>
      </c>
      <c r="N14" s="54">
        <f t="shared" si="2"/>
        <v>2204852320.6199999</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284762264.35000002</v>
      </c>
      <c r="D17" s="733">
        <v>29327297.93</v>
      </c>
      <c r="E17" s="733">
        <v>22224184.620000001</v>
      </c>
      <c r="F17" s="733">
        <v>15398650.4</v>
      </c>
      <c r="G17" s="733">
        <v>18399696.579999998</v>
      </c>
      <c r="H17" s="733">
        <v>15905579.859999999</v>
      </c>
      <c r="I17" s="733">
        <v>82714323.099999994</v>
      </c>
      <c r="J17" s="744">
        <v>307201154.95999998</v>
      </c>
      <c r="K17" s="134">
        <f>SUM(C17:J17)</f>
        <v>775933151.79999995</v>
      </c>
      <c r="L17" s="645">
        <f>SUM(F17:J17)</f>
        <v>439619404.89999998</v>
      </c>
      <c r="M17" s="747"/>
      <c r="N17" s="748">
        <v>211037920.27000001</v>
      </c>
    </row>
    <row r="18" spans="1:14" ht="12.75" customHeight="1" x14ac:dyDescent="0.25">
      <c r="A18" s="39" t="s">
        <v>1087</v>
      </c>
      <c r="B18" s="169">
        <v>2300</v>
      </c>
      <c r="C18" s="745">
        <v>41533599.030000001</v>
      </c>
      <c r="D18" s="733">
        <v>14569784.91</v>
      </c>
      <c r="E18" s="733">
        <v>6346457.5599999996</v>
      </c>
      <c r="F18" s="733">
        <v>5824017.3600000003</v>
      </c>
      <c r="G18" s="733">
        <v>5781968.8600000003</v>
      </c>
      <c r="H18" s="733">
        <v>6130460.7000000002</v>
      </c>
      <c r="I18" s="733">
        <v>29313626.25</v>
      </c>
      <c r="J18" s="744">
        <v>106977353.52</v>
      </c>
      <c r="K18" s="134">
        <f>SUM(C18:J18)</f>
        <v>216477268.19</v>
      </c>
      <c r="L18" s="645">
        <f>SUM(F18:J18)</f>
        <v>154027426.69</v>
      </c>
      <c r="M18" s="747"/>
      <c r="N18" s="748">
        <v>69261985.900000006</v>
      </c>
    </row>
    <row r="19" spans="1:14" ht="12.75" customHeight="1" x14ac:dyDescent="0.25">
      <c r="A19" s="39" t="s">
        <v>685</v>
      </c>
      <c r="B19" s="169">
        <v>2400</v>
      </c>
      <c r="C19" s="745">
        <v>299643319.05000001</v>
      </c>
      <c r="D19" s="733">
        <v>77458915.140000001</v>
      </c>
      <c r="E19" s="733">
        <v>67251946.25</v>
      </c>
      <c r="F19" s="733">
        <v>43578367.229999997</v>
      </c>
      <c r="G19" s="733">
        <v>65785793.810000002</v>
      </c>
      <c r="H19" s="733">
        <v>65592438.43</v>
      </c>
      <c r="I19" s="733">
        <v>406306631.68000001</v>
      </c>
      <c r="J19" s="744">
        <v>2361142618.1500001</v>
      </c>
      <c r="K19" s="134">
        <f>SUM(C19:J19)</f>
        <v>3386760029.7399998</v>
      </c>
      <c r="L19" s="645">
        <f>SUM(F19:J19)</f>
        <v>2942405849.3000002</v>
      </c>
      <c r="M19" s="747"/>
      <c r="N19" s="748">
        <v>1788948886.1400001</v>
      </c>
    </row>
    <row r="20" spans="1:14" ht="12.75" customHeight="1" x14ac:dyDescent="0.25">
      <c r="A20" s="39" t="s">
        <v>718</v>
      </c>
      <c r="B20" s="169">
        <v>2500</v>
      </c>
      <c r="C20" s="745">
        <v>22027335.670000002</v>
      </c>
      <c r="D20" s="733">
        <v>4460780.7699999996</v>
      </c>
      <c r="E20" s="733">
        <v>4443222.91</v>
      </c>
      <c r="F20" s="733">
        <v>2545084.5699999998</v>
      </c>
      <c r="G20" s="733">
        <v>3774160.48</v>
      </c>
      <c r="H20" s="733">
        <v>4901672.93</v>
      </c>
      <c r="I20" s="733">
        <v>23845173.960000001</v>
      </c>
      <c r="J20" s="744">
        <v>166897131.28</v>
      </c>
      <c r="K20" s="134">
        <f>SUM(C20:J20)</f>
        <v>232894562.56999999</v>
      </c>
      <c r="L20" s="645">
        <f>SUM(F20:J20)</f>
        <v>201963223.22</v>
      </c>
      <c r="M20" s="747"/>
      <c r="N20" s="749">
        <v>135603528.31</v>
      </c>
    </row>
    <row r="21" spans="1:14" ht="12.75" customHeight="1" x14ac:dyDescent="0.25">
      <c r="A21" s="53" t="s">
        <v>1090</v>
      </c>
      <c r="B21" s="284">
        <v>2600</v>
      </c>
      <c r="C21" s="56">
        <f t="shared" ref="C21:I21" si="3">SUM(C17:C20)</f>
        <v>647966518.10000002</v>
      </c>
      <c r="D21" s="55">
        <f t="shared" si="3"/>
        <v>125816778.75</v>
      </c>
      <c r="E21" s="55">
        <f t="shared" si="3"/>
        <v>100265811.34</v>
      </c>
      <c r="F21" s="55">
        <f t="shared" si="3"/>
        <v>67346119.559999987</v>
      </c>
      <c r="G21" s="55">
        <f t="shared" si="3"/>
        <v>93741619.730000004</v>
      </c>
      <c r="H21" s="55">
        <f t="shared" si="3"/>
        <v>92530151.919999987</v>
      </c>
      <c r="I21" s="55">
        <f t="shared" si="3"/>
        <v>542179754.99000001</v>
      </c>
      <c r="J21" s="83">
        <f>SUM(J17:J20)</f>
        <v>2942218257.9100003</v>
      </c>
      <c r="K21" s="112">
        <f>SUM(K17:K20)</f>
        <v>4612065012.2999992</v>
      </c>
      <c r="L21" s="914">
        <f>SUM(L17:L20)</f>
        <v>3738015904.1100001</v>
      </c>
      <c r="M21" s="54">
        <f>SUM(M17:M20)</f>
        <v>0</v>
      </c>
      <c r="N21" s="244">
        <f>SUM(N17:N20)</f>
        <v>2204852320.6200004</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2</v>
      </c>
    </row>
    <row r="11" spans="4:25" x14ac:dyDescent="0.2">
      <c r="W11" s="646" t="s">
        <v>866</v>
      </c>
      <c r="X11" s="701" t="str">
        <f>VLOOKUP(X10,W39:X55,2)</f>
        <v>M02 August</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3" t="str">
        <f>muni&amp; " - "&amp;S71J&amp; " - "&amp;Head57</f>
        <v>KZN225 Msunduzi - Supporting Table SC4 Monthly Budget Statement - aged creditors  - M02 August</v>
      </c>
      <c r="B1" s="1053"/>
      <c r="C1" s="1053"/>
      <c r="D1" s="1053"/>
      <c r="E1" s="1053"/>
      <c r="F1" s="1053"/>
      <c r="G1" s="1053"/>
      <c r="H1" s="1053"/>
      <c r="I1" s="1053"/>
      <c r="J1" s="1053"/>
      <c r="K1" s="1053"/>
    </row>
    <row r="2" spans="1:12" ht="12.75" customHeight="1" x14ac:dyDescent="0.25">
      <c r="A2" s="1042" t="str">
        <f>desc</f>
        <v>Description</v>
      </c>
      <c r="B2" s="1074" t="s">
        <v>734</v>
      </c>
      <c r="C2" s="137" t="str">
        <f>Head2</f>
        <v>Budget Year 2020/21</v>
      </c>
      <c r="D2" s="137"/>
      <c r="E2" s="137"/>
      <c r="F2" s="137"/>
      <c r="G2" s="137"/>
      <c r="H2" s="137"/>
      <c r="I2" s="137"/>
      <c r="J2" s="137"/>
      <c r="K2" s="138"/>
      <c r="L2" s="1064" t="s">
        <v>74</v>
      </c>
    </row>
    <row r="3" spans="1:12" ht="12.75" customHeight="1" x14ac:dyDescent="0.25">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5">
      <c r="A4" s="34" t="s">
        <v>667</v>
      </c>
      <c r="B4" s="1072"/>
      <c r="C4" s="1077"/>
      <c r="D4" s="1068"/>
      <c r="E4" s="1068"/>
      <c r="F4" s="1068"/>
      <c r="G4" s="1068"/>
      <c r="H4" s="1068"/>
      <c r="I4" s="1068"/>
      <c r="J4" s="1070"/>
      <c r="K4" s="1072"/>
      <c r="L4" s="1066"/>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131868757.81999999</v>
      </c>
      <c r="D6" s="733"/>
      <c r="E6" s="733"/>
      <c r="F6" s="733"/>
      <c r="G6" s="733"/>
      <c r="H6" s="733"/>
      <c r="I6" s="733"/>
      <c r="J6" s="735"/>
      <c r="K6" s="109">
        <f>SUM(C6:J6)</f>
        <v>131868757.81999999</v>
      </c>
      <c r="L6" s="748">
        <v>266648898</v>
      </c>
    </row>
    <row r="7" spans="1:12" ht="12.75" customHeight="1" x14ac:dyDescent="0.25">
      <c r="A7" s="39" t="s">
        <v>688</v>
      </c>
      <c r="B7" s="169" t="s">
        <v>689</v>
      </c>
      <c r="C7" s="753">
        <v>118663452.25</v>
      </c>
      <c r="D7" s="733">
        <v>94231931.290000007</v>
      </c>
      <c r="E7" s="733">
        <v>289572.01</v>
      </c>
      <c r="F7" s="733"/>
      <c r="G7" s="733"/>
      <c r="H7" s="733"/>
      <c r="I7" s="733"/>
      <c r="J7" s="735"/>
      <c r="K7" s="109">
        <f t="shared" ref="K7:K13" si="0">SUM(C7:J7)</f>
        <v>213184955.55000001</v>
      </c>
      <c r="L7" s="748">
        <v>72313674.590000004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177479193.75999999</v>
      </c>
      <c r="D9" s="733"/>
      <c r="E9" s="733"/>
      <c r="F9" s="733"/>
      <c r="G9" s="733"/>
      <c r="H9" s="733"/>
      <c r="I9" s="733"/>
      <c r="J9" s="735"/>
      <c r="K9" s="109">
        <f t="shared" si="0"/>
        <v>177479193.75999999</v>
      </c>
      <c r="L9" s="748">
        <v>173036022.27000001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10406315.660000032</v>
      </c>
      <c r="D12" s="733">
        <v>20008277.489999995</v>
      </c>
      <c r="E12" s="733">
        <v>49688244.359999999</v>
      </c>
      <c r="F12" s="733">
        <v>288067.40999999997</v>
      </c>
      <c r="G12" s="733">
        <v>65950.679999999993</v>
      </c>
      <c r="H12" s="733">
        <v>197676.86</v>
      </c>
      <c r="I12" s="733">
        <v>75892.719999998808</v>
      </c>
      <c r="J12" s="735">
        <v>597518.71</v>
      </c>
      <c r="K12" s="109">
        <f t="shared" si="0"/>
        <v>81327943.890000015</v>
      </c>
      <c r="L12" s="748">
        <v>53671217.329999998</v>
      </c>
    </row>
    <row r="13" spans="1:12" ht="12.75" customHeight="1" x14ac:dyDescent="0.25">
      <c r="A13" s="39" t="s">
        <v>599</v>
      </c>
      <c r="B13" s="169" t="s">
        <v>600</v>
      </c>
      <c r="C13" s="753">
        <v>532174.01</v>
      </c>
      <c r="D13" s="733"/>
      <c r="E13" s="733"/>
      <c r="F13" s="733"/>
      <c r="G13" s="733"/>
      <c r="H13" s="733"/>
      <c r="I13" s="733"/>
      <c r="J13" s="735"/>
      <c r="K13" s="109">
        <f t="shared" si="0"/>
        <v>532174.01</v>
      </c>
      <c r="L13" s="748">
        <v>0</v>
      </c>
    </row>
    <row r="14" spans="1:12" ht="12.75" customHeight="1" x14ac:dyDescent="0.25">
      <c r="A14" s="39" t="s">
        <v>718</v>
      </c>
      <c r="B14" s="169" t="s">
        <v>601</v>
      </c>
      <c r="C14" s="753">
        <v>365654604.62</v>
      </c>
      <c r="D14" s="733"/>
      <c r="E14" s="733"/>
      <c r="F14" s="733"/>
      <c r="G14" s="733"/>
      <c r="H14" s="733"/>
      <c r="I14" s="733"/>
      <c r="J14" s="735"/>
      <c r="K14" s="109">
        <f>SUM(C14:J14)</f>
        <v>365654604.62</v>
      </c>
      <c r="L14" s="748">
        <v>256518896.22</v>
      </c>
    </row>
    <row r="15" spans="1:12" ht="12.75" customHeight="1" x14ac:dyDescent="0.25">
      <c r="A15" s="53" t="s">
        <v>919</v>
      </c>
      <c r="B15" s="284">
        <v>1000</v>
      </c>
      <c r="C15" s="271">
        <f>SUM(C6:C14)</f>
        <v>804604498.12</v>
      </c>
      <c r="D15" s="55">
        <f t="shared" ref="D15:J15" si="1">SUM(D6:D14)</f>
        <v>114240208.78</v>
      </c>
      <c r="E15" s="55">
        <f t="shared" si="1"/>
        <v>49977816.369999997</v>
      </c>
      <c r="F15" s="55">
        <f t="shared" si="1"/>
        <v>288067.40999999997</v>
      </c>
      <c r="G15" s="55">
        <f t="shared" si="1"/>
        <v>65950.679999999993</v>
      </c>
      <c r="H15" s="55">
        <f t="shared" si="1"/>
        <v>197676.86</v>
      </c>
      <c r="I15" s="55">
        <f t="shared" si="1"/>
        <v>75892.719999998808</v>
      </c>
      <c r="J15" s="235">
        <f t="shared" si="1"/>
        <v>597518.71</v>
      </c>
      <c r="K15" s="112">
        <f>SUM(K6:K14)</f>
        <v>970047629.64999998</v>
      </c>
      <c r="L15" s="160">
        <f>SUM(L6:L14)</f>
        <v>822188708.41000009</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sqref="A1:O24"/>
    </sheetView>
  </sheetViews>
  <sheetFormatPr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3" t="str">
        <f>muni&amp; " - "&amp;S71K&amp; " - "&amp;Head57</f>
        <v>KZN225 Msunduzi - Supporting Table SC5 Monthly Budget Statement - investment portfolio  - M02 August</v>
      </c>
      <c r="B1" s="1053"/>
      <c r="C1" s="1053"/>
      <c r="D1" s="1053"/>
      <c r="E1" s="1053"/>
      <c r="F1" s="1053"/>
      <c r="G1" s="1053"/>
      <c r="H1" s="1053"/>
      <c r="I1" s="1053"/>
      <c r="J1" s="1053"/>
      <c r="K1" s="67"/>
    </row>
    <row r="2" spans="1:15" ht="54" customHeight="1" x14ac:dyDescent="0.25">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5">
      <c r="A3" s="34" t="s">
        <v>667</v>
      </c>
      <c r="B3" s="1072"/>
      <c r="C3" s="413" t="s">
        <v>127</v>
      </c>
      <c r="D3" s="1081"/>
      <c r="E3" s="949"/>
      <c r="F3" s="949"/>
      <c r="G3" s="949"/>
      <c r="H3" s="949"/>
      <c r="I3" s="949"/>
      <c r="J3" s="1070"/>
      <c r="K3" s="1078"/>
      <c r="L3" s="1078"/>
      <c r="M3" s="1078"/>
      <c r="N3" s="1078"/>
      <c r="O3" s="1079"/>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304249755.56999999</v>
      </c>
      <c r="L5" s="954">
        <v>273065.56</v>
      </c>
      <c r="M5" s="955">
        <v>-456528254.94999999</v>
      </c>
      <c r="N5" s="955">
        <v>434864497.81999999</v>
      </c>
      <c r="O5" s="956">
        <f t="shared" ref="O5:O11" si="0">SUM(K5:N5)</f>
        <v>282859064</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304249755.56999999</v>
      </c>
      <c r="L12" s="960"/>
      <c r="M12" s="961">
        <f>SUM(M5:M11)</f>
        <v>-456528254.94999999</v>
      </c>
      <c r="N12" s="961">
        <f>SUM(N5:N11)</f>
        <v>434864497.81999999</v>
      </c>
      <c r="O12" s="962">
        <f>SUM(O5:O11)</f>
        <v>282859064</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3783039.37</v>
      </c>
      <c r="L15" s="954">
        <v>5929.63</v>
      </c>
      <c r="M15" s="955">
        <v>-3361717</v>
      </c>
      <c r="N15" s="955">
        <v>2546717</v>
      </c>
      <c r="O15" s="956">
        <f t="shared" ref="O15:O21" si="1">SUM(K15:N15)</f>
        <v>2973969</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3783039.37</v>
      </c>
      <c r="L22" s="960"/>
      <c r="M22" s="961">
        <f>SUM(M15:M21)</f>
        <v>-3361717</v>
      </c>
      <c r="N22" s="961">
        <f>SUM(N15:N21)</f>
        <v>2546717</v>
      </c>
      <c r="O22" s="962">
        <f>SUM(O15:O21)</f>
        <v>2973969</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308032794.94</v>
      </c>
      <c r="L24" s="978"/>
      <c r="M24" s="979">
        <f>M12+M22</f>
        <v>-459889971.94999999</v>
      </c>
      <c r="N24" s="979">
        <f>N12+N22</f>
        <v>437411214.81999999</v>
      </c>
      <c r="O24" s="980">
        <f>O12+O22</f>
        <v>285833033</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26" activePane="bottomRight" state="frozen"/>
      <selection pane="topRight"/>
      <selection pane="bottomLeft"/>
      <selection pane="bottomRight" activeCell="G48" sqref="G48"/>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"&amp;S71L&amp; " - "&amp;Head57</f>
        <v>KZN225 Msunduzi - Supporting Table SC6 Monthly Budget Statement - transfers and grant receipts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0</v>
      </c>
      <c r="F8" s="50">
        <f t="shared" si="0"/>
        <v>268732000</v>
      </c>
      <c r="G8" s="50">
        <f t="shared" si="0"/>
        <v>271732000</v>
      </c>
      <c r="H8" s="50">
        <f t="shared" si="0"/>
        <v>101434762.49999999</v>
      </c>
      <c r="I8" s="50">
        <f t="shared" si="0"/>
        <v>170297237.5</v>
      </c>
      <c r="J8" s="343">
        <f>IF(I8=0,"",I8/H8)</f>
        <v>1.6788843716176693</v>
      </c>
      <c r="K8" s="194">
        <f>SUM(K9:K16)</f>
        <v>608608575</v>
      </c>
    </row>
    <row r="9" spans="1:11" ht="12.75" customHeight="1" x14ac:dyDescent="0.25">
      <c r="A9" s="733" t="s">
        <v>986</v>
      </c>
      <c r="B9" s="169"/>
      <c r="C9" s="779"/>
      <c r="D9" s="780">
        <v>593405000</v>
      </c>
      <c r="E9" s="734"/>
      <c r="F9" s="734">
        <v>267032000</v>
      </c>
      <c r="G9" s="734">
        <v>267032000</v>
      </c>
      <c r="H9" s="733">
        <f>D9/12*2</f>
        <v>98900833.333333328</v>
      </c>
      <c r="I9" s="514">
        <f>G9-H9</f>
        <v>168131166.66666669</v>
      </c>
      <c r="J9" s="552">
        <f>IF(I9=0,"",I9/H9)</f>
        <v>1.699997472215435</v>
      </c>
      <c r="K9" s="736">
        <f>D9</f>
        <v>593405000</v>
      </c>
    </row>
    <row r="10" spans="1:11" ht="12.75" customHeight="1" x14ac:dyDescent="0.25">
      <c r="A10" s="733" t="s">
        <v>988</v>
      </c>
      <c r="B10" s="169"/>
      <c r="C10" s="748"/>
      <c r="D10" s="745">
        <v>1700000</v>
      </c>
      <c r="E10" s="733"/>
      <c r="F10" s="733">
        <v>1700000</v>
      </c>
      <c r="G10" s="733">
        <v>1700000</v>
      </c>
      <c r="H10" s="733">
        <f>D10/12*2</f>
        <v>283333.33333333331</v>
      </c>
      <c r="I10" s="514">
        <f t="shared" ref="I10:I15" si="1">G10-H10</f>
        <v>1416666.6666666667</v>
      </c>
      <c r="J10" s="552">
        <f t="shared" ref="J10:J15" si="2">IF(I10=0,"",I10/H10)</f>
        <v>5.0000000000000009</v>
      </c>
      <c r="K10" s="735">
        <f>D10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c r="F12" s="733"/>
      <c r="G12" s="733"/>
      <c r="H12" s="733">
        <f>D12/12*2</f>
        <v>731333.33333333337</v>
      </c>
      <c r="I12" s="514">
        <f t="shared" si="1"/>
        <v>-731333.33333333337</v>
      </c>
      <c r="J12" s="552">
        <f t="shared" si="2"/>
        <v>-1</v>
      </c>
      <c r="K12" s="735">
        <f>D12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c r="F16" s="733"/>
      <c r="G16" s="733">
        <v>3000000</v>
      </c>
      <c r="H16" s="733">
        <f>D16/12*2</f>
        <v>1519262.5</v>
      </c>
      <c r="I16" s="44">
        <f>G16-H16</f>
        <v>1480737.5</v>
      </c>
      <c r="J16" s="124">
        <f>IF(I16=0,"",I16/H16)</f>
        <v>0.97464230177470979</v>
      </c>
      <c r="K16" s="735">
        <f>D16</f>
        <v>9115575</v>
      </c>
    </row>
    <row r="17" spans="1:11" ht="12.75" customHeight="1" x14ac:dyDescent="0.25">
      <c r="A17" s="106" t="s">
        <v>623</v>
      </c>
      <c r="B17" s="169"/>
      <c r="C17" s="516">
        <f t="shared" ref="C17:I17" si="3">SUM(C18:C28)</f>
        <v>0</v>
      </c>
      <c r="D17" s="475">
        <f t="shared" si="3"/>
        <v>66874665</v>
      </c>
      <c r="E17" s="430">
        <f t="shared" si="3"/>
        <v>0</v>
      </c>
      <c r="F17" s="430">
        <f t="shared" si="3"/>
        <v>2861789.24</v>
      </c>
      <c r="G17" s="430">
        <f t="shared" si="3"/>
        <v>7327847.3799999999</v>
      </c>
      <c r="H17" s="430">
        <f t="shared" si="3"/>
        <v>11145777.5</v>
      </c>
      <c r="I17" s="430">
        <f t="shared" si="3"/>
        <v>-3817930.1200000006</v>
      </c>
      <c r="J17" s="553">
        <f>IF(I17=0,"",I17/H17)</f>
        <v>-0.3425449790290539</v>
      </c>
      <c r="K17" s="513">
        <f>SUM(K18:K28)</f>
        <v>66874665</v>
      </c>
    </row>
    <row r="18" spans="1:11" ht="12.75" customHeight="1" x14ac:dyDescent="0.25">
      <c r="A18" s="1002" t="s">
        <v>623</v>
      </c>
      <c r="B18" s="169"/>
      <c r="C18" s="779"/>
      <c r="D18" s="780"/>
      <c r="E18" s="734"/>
      <c r="F18" s="734"/>
      <c r="G18" s="734"/>
      <c r="H18" s="734">
        <f t="shared" ref="H18:H28" si="4">D18/12*2</f>
        <v>0</v>
      </c>
      <c r="I18" s="514">
        <f t="shared" ref="I18:I25" si="5">G18-H18</f>
        <v>0</v>
      </c>
      <c r="J18" s="552" t="str">
        <f t="shared" ref="J18:J25" si="6">IF(I18=0,"",I18/H18)</f>
        <v/>
      </c>
      <c r="K18" s="736"/>
    </row>
    <row r="19" spans="1:11" ht="12.75" customHeight="1" x14ac:dyDescent="0.25">
      <c r="A19" s="1002" t="s">
        <v>1452</v>
      </c>
      <c r="B19" s="169"/>
      <c r="C19" s="748"/>
      <c r="D19" s="745"/>
      <c r="E19" s="733"/>
      <c r="F19" s="733">
        <v>1097000</v>
      </c>
      <c r="G19" s="733">
        <v>1097000</v>
      </c>
      <c r="H19" s="733">
        <f t="shared" si="4"/>
        <v>0</v>
      </c>
      <c r="I19" s="44">
        <f t="shared" si="5"/>
        <v>1097000</v>
      </c>
      <c r="J19" s="124" t="e">
        <f t="shared" si="6"/>
        <v>#DIV/0!</v>
      </c>
      <c r="K19" s="735"/>
    </row>
    <row r="20" spans="1:11" ht="12.75" customHeight="1" x14ac:dyDescent="0.25">
      <c r="A20" s="1002" t="s">
        <v>771</v>
      </c>
      <c r="B20" s="169"/>
      <c r="C20" s="748"/>
      <c r="D20" s="745"/>
      <c r="E20" s="733"/>
      <c r="F20" s="733"/>
      <c r="G20" s="733"/>
      <c r="H20" s="733">
        <f t="shared" si="4"/>
        <v>0</v>
      </c>
      <c r="I20" s="44">
        <f t="shared" si="5"/>
        <v>0</v>
      </c>
      <c r="J20" s="124" t="str">
        <f t="shared" si="6"/>
        <v/>
      </c>
      <c r="K20" s="735"/>
    </row>
    <row r="21" spans="1:11" ht="12.75" customHeight="1" x14ac:dyDescent="0.25">
      <c r="A21" s="1002" t="s">
        <v>1434</v>
      </c>
      <c r="B21" s="169"/>
      <c r="C21" s="748"/>
      <c r="D21" s="745">
        <v>3603000</v>
      </c>
      <c r="E21" s="733"/>
      <c r="F21" s="733"/>
      <c r="G21" s="733"/>
      <c r="H21" s="733">
        <f t="shared" si="4"/>
        <v>600500</v>
      </c>
      <c r="I21" s="44">
        <f t="shared" si="5"/>
        <v>-600500</v>
      </c>
      <c r="J21" s="124">
        <f t="shared" si="6"/>
        <v>-1</v>
      </c>
      <c r="K21" s="735">
        <f>D21</f>
        <v>3603000</v>
      </c>
    </row>
    <row r="22" spans="1:11" ht="12.75" customHeight="1" x14ac:dyDescent="0.25">
      <c r="A22" s="1002" t="s">
        <v>1435</v>
      </c>
      <c r="B22" s="169"/>
      <c r="C22" s="748"/>
      <c r="D22" s="745">
        <v>4264000</v>
      </c>
      <c r="E22" s="733"/>
      <c r="F22" s="733"/>
      <c r="G22" s="733"/>
      <c r="H22" s="733">
        <f t="shared" si="4"/>
        <v>710666.66666666663</v>
      </c>
      <c r="I22" s="44">
        <f t="shared" si="5"/>
        <v>-710666.66666666663</v>
      </c>
      <c r="J22" s="124">
        <f t="shared" si="6"/>
        <v>-1</v>
      </c>
      <c r="K22" s="735">
        <f>D22</f>
        <v>4264000</v>
      </c>
    </row>
    <row r="23" spans="1:11" ht="12.75" customHeight="1" x14ac:dyDescent="0.25">
      <c r="A23" s="1002" t="s">
        <v>1436</v>
      </c>
      <c r="B23" s="169"/>
      <c r="C23" s="748"/>
      <c r="D23" s="745">
        <v>24079242</v>
      </c>
      <c r="E23" s="733"/>
      <c r="F23" s="733"/>
      <c r="G23" s="733"/>
      <c r="H23" s="733">
        <f t="shared" si="4"/>
        <v>4013207</v>
      </c>
      <c r="I23" s="44">
        <f t="shared" si="5"/>
        <v>-4013207</v>
      </c>
      <c r="J23" s="124">
        <f t="shared" si="6"/>
        <v>-1</v>
      </c>
      <c r="K23" s="735">
        <f>D23</f>
        <v>24079242</v>
      </c>
    </row>
    <row r="24" spans="1:11" ht="12.75" customHeight="1" x14ac:dyDescent="0.25">
      <c r="A24" s="1002" t="s">
        <v>1437</v>
      </c>
      <c r="B24" s="169"/>
      <c r="C24" s="748"/>
      <c r="D24" s="745">
        <v>22740423</v>
      </c>
      <c r="E24" s="733"/>
      <c r="F24" s="733">
        <v>1764789.2400000002</v>
      </c>
      <c r="G24" s="733">
        <v>6230847.3799999999</v>
      </c>
      <c r="H24" s="733">
        <f t="shared" si="4"/>
        <v>3790070.5</v>
      </c>
      <c r="I24" s="44">
        <f t="shared" si="5"/>
        <v>2440776.88</v>
      </c>
      <c r="J24" s="124">
        <f t="shared" si="6"/>
        <v>0.64399247454631781</v>
      </c>
      <c r="K24" s="735">
        <f>D24</f>
        <v>22740423</v>
      </c>
    </row>
    <row r="25" spans="1:11" ht="12.75" customHeight="1" x14ac:dyDescent="0.25">
      <c r="A25" s="1002" t="s">
        <v>1451</v>
      </c>
      <c r="B25" s="169"/>
      <c r="C25" s="748"/>
      <c r="D25" s="745"/>
      <c r="E25" s="733"/>
      <c r="F25" s="733"/>
      <c r="G25" s="733"/>
      <c r="H25" s="733">
        <f t="shared" si="4"/>
        <v>0</v>
      </c>
      <c r="I25" s="44">
        <f t="shared" si="5"/>
        <v>0</v>
      </c>
      <c r="J25" s="124" t="str">
        <f t="shared" si="6"/>
        <v/>
      </c>
      <c r="K25" s="735"/>
    </row>
    <row r="26" spans="1:11" ht="12.75" customHeight="1" x14ac:dyDescent="0.25">
      <c r="A26" s="1002" t="s">
        <v>1438</v>
      </c>
      <c r="B26" s="169">
        <v>4</v>
      </c>
      <c r="C26" s="748"/>
      <c r="D26" s="745">
        <v>10200000</v>
      </c>
      <c r="E26" s="733"/>
      <c r="F26" s="733"/>
      <c r="G26" s="733"/>
      <c r="H26" s="733">
        <f t="shared" si="4"/>
        <v>1700000</v>
      </c>
      <c r="I26" s="44">
        <f t="shared" ref="I26:I32" si="7">G26-H26</f>
        <v>-1700000</v>
      </c>
      <c r="J26" s="124">
        <f t="shared" ref="J26:J33" si="8">IF(I26=0,"",I26/H26)</f>
        <v>-1</v>
      </c>
      <c r="K26" s="735">
        <f>D26</f>
        <v>10200000</v>
      </c>
    </row>
    <row r="27" spans="1:11" ht="12.75" customHeight="1" x14ac:dyDescent="0.25">
      <c r="A27" s="1002" t="s">
        <v>1439</v>
      </c>
      <c r="B27" s="169"/>
      <c r="C27" s="748"/>
      <c r="D27" s="745">
        <v>488000</v>
      </c>
      <c r="E27" s="733"/>
      <c r="F27" s="733"/>
      <c r="G27" s="733"/>
      <c r="H27" s="733">
        <f t="shared" si="4"/>
        <v>81333.333333333328</v>
      </c>
      <c r="I27" s="44">
        <f t="shared" si="7"/>
        <v>-81333.333333333328</v>
      </c>
      <c r="J27" s="124">
        <f t="shared" si="8"/>
        <v>-1</v>
      </c>
      <c r="K27" s="735">
        <f>D27</f>
        <v>488000</v>
      </c>
    </row>
    <row r="28" spans="1:11" ht="12.75" customHeight="1" x14ac:dyDescent="0.25">
      <c r="A28" s="1002" t="s">
        <v>1440</v>
      </c>
      <c r="B28" s="169"/>
      <c r="C28" s="748"/>
      <c r="D28" s="745">
        <v>1500000</v>
      </c>
      <c r="E28" s="733"/>
      <c r="F28" s="733"/>
      <c r="G28" s="733"/>
      <c r="H28" s="733">
        <f t="shared" si="4"/>
        <v>250000</v>
      </c>
      <c r="I28" s="44">
        <f t="shared" si="7"/>
        <v>-250000</v>
      </c>
      <c r="J28" s="124">
        <f t="shared" si="8"/>
        <v>-1</v>
      </c>
      <c r="K28" s="735">
        <f>D28</f>
        <v>1500000</v>
      </c>
    </row>
    <row r="29" spans="1:11" ht="12.75" customHeight="1" x14ac:dyDescent="0.25">
      <c r="A29" s="106" t="s">
        <v>519</v>
      </c>
      <c r="B29" s="169"/>
      <c r="C29" s="516">
        <f t="shared" ref="C29:H29" si="9">SUM(C30:C30)</f>
        <v>0</v>
      </c>
      <c r="D29" s="475">
        <f t="shared" si="9"/>
        <v>0</v>
      </c>
      <c r="E29" s="430">
        <f t="shared" si="9"/>
        <v>0</v>
      </c>
      <c r="F29" s="430">
        <f t="shared" si="9"/>
        <v>0</v>
      </c>
      <c r="G29" s="430">
        <f t="shared" si="9"/>
        <v>0</v>
      </c>
      <c r="H29" s="430">
        <f t="shared" si="9"/>
        <v>0</v>
      </c>
      <c r="I29" s="514">
        <f t="shared" si="7"/>
        <v>0</v>
      </c>
      <c r="J29" s="552" t="str">
        <f t="shared" si="8"/>
        <v/>
      </c>
      <c r="K29" s="513">
        <f>SUM(K30:K30)</f>
        <v>0</v>
      </c>
    </row>
    <row r="30" spans="1:11" ht="12.75" customHeight="1" x14ac:dyDescent="0.25">
      <c r="A30" s="781" t="s">
        <v>567</v>
      </c>
      <c r="B30" s="169"/>
      <c r="C30" s="783"/>
      <c r="D30" s="784"/>
      <c r="E30" s="737"/>
      <c r="F30" s="737"/>
      <c r="G30" s="737"/>
      <c r="H30" s="737"/>
      <c r="I30" s="514">
        <f t="shared" si="7"/>
        <v>0</v>
      </c>
      <c r="J30" s="552" t="str">
        <f t="shared" si="8"/>
        <v/>
      </c>
      <c r="K30" s="738"/>
    </row>
    <row r="31" spans="1:11" ht="12.75" customHeight="1" x14ac:dyDescent="0.25">
      <c r="A31" s="106" t="s">
        <v>818</v>
      </c>
      <c r="B31" s="169"/>
      <c r="C31" s="516">
        <f t="shared" ref="C31:H31" si="10">SUM(C32:C32)</f>
        <v>0</v>
      </c>
      <c r="D31" s="475">
        <f t="shared" si="10"/>
        <v>0</v>
      </c>
      <c r="E31" s="430">
        <f t="shared" si="10"/>
        <v>0</v>
      </c>
      <c r="F31" s="430">
        <f t="shared" si="10"/>
        <v>0</v>
      </c>
      <c r="G31" s="430">
        <f t="shared" si="10"/>
        <v>0</v>
      </c>
      <c r="H31" s="430">
        <f t="shared" si="10"/>
        <v>0</v>
      </c>
      <c r="I31" s="514">
        <f t="shared" si="7"/>
        <v>0</v>
      </c>
      <c r="J31" s="552" t="str">
        <f t="shared" si="8"/>
        <v/>
      </c>
      <c r="K31" s="513">
        <f>SUM(K32:K32)</f>
        <v>0</v>
      </c>
    </row>
    <row r="32" spans="1:11" ht="12.75" customHeight="1" x14ac:dyDescent="0.25">
      <c r="A32" s="781" t="s">
        <v>567</v>
      </c>
      <c r="B32" s="169"/>
      <c r="C32" s="783"/>
      <c r="D32" s="784"/>
      <c r="E32" s="737"/>
      <c r="F32" s="737"/>
      <c r="G32" s="737"/>
      <c r="H32" s="737"/>
      <c r="I32" s="514">
        <f t="shared" si="7"/>
        <v>0</v>
      </c>
      <c r="J32" s="552" t="str">
        <f t="shared" si="8"/>
        <v/>
      </c>
      <c r="K32" s="738"/>
    </row>
    <row r="33" spans="1:11" ht="12.75" customHeight="1" x14ac:dyDescent="0.25">
      <c r="A33" s="558" t="s">
        <v>62</v>
      </c>
      <c r="B33" s="233">
        <v>5</v>
      </c>
      <c r="C33" s="243">
        <f t="shared" ref="C33:I33" si="11">C8+C17+C29+C31</f>
        <v>0</v>
      </c>
      <c r="D33" s="74">
        <f t="shared" si="11"/>
        <v>675483240</v>
      </c>
      <c r="E33" s="73">
        <f t="shared" si="11"/>
        <v>0</v>
      </c>
      <c r="F33" s="73">
        <f t="shared" si="11"/>
        <v>271593789.24000001</v>
      </c>
      <c r="G33" s="73">
        <f t="shared" si="11"/>
        <v>279059847.38</v>
      </c>
      <c r="H33" s="73">
        <f t="shared" si="11"/>
        <v>112580539.99999999</v>
      </c>
      <c r="I33" s="73">
        <f t="shared" si="11"/>
        <v>166479307.38</v>
      </c>
      <c r="J33" s="304">
        <f t="shared" si="8"/>
        <v>1.4787574067418758</v>
      </c>
      <c r="K33" s="145">
        <f>K8+K17+K29+K31</f>
        <v>675483240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2">SUM(C37:C44)</f>
        <v>0</v>
      </c>
      <c r="D36" s="46">
        <f t="shared" si="12"/>
        <v>255267424.99999985</v>
      </c>
      <c r="E36" s="44">
        <f t="shared" si="12"/>
        <v>0</v>
      </c>
      <c r="F36" s="44">
        <f t="shared" si="12"/>
        <v>0</v>
      </c>
      <c r="G36" s="44">
        <f t="shared" si="12"/>
        <v>57450000</v>
      </c>
      <c r="H36" s="44">
        <f t="shared" si="12"/>
        <v>42544570.833333306</v>
      </c>
      <c r="I36" s="44">
        <f t="shared" si="12"/>
        <v>14905429.166666694</v>
      </c>
      <c r="J36" s="343">
        <f>IF(I36=0,"",I36/H36)</f>
        <v>0.35034856092586125</v>
      </c>
      <c r="K36" s="144">
        <f>SUM(K37:K44)</f>
        <v>255267424.99999985</v>
      </c>
    </row>
    <row r="37" spans="1:11" ht="12.75" customHeight="1" x14ac:dyDescent="0.25">
      <c r="A37" s="778" t="s">
        <v>1441</v>
      </c>
      <c r="B37" s="169"/>
      <c r="C37" s="779"/>
      <c r="D37" s="780">
        <v>187012424.99999985</v>
      </c>
      <c r="E37" s="734"/>
      <c r="F37" s="734"/>
      <c r="G37" s="734">
        <v>27000000</v>
      </c>
      <c r="H37" s="733">
        <f t="shared" ref="H37:H44" si="13">D37/12*2</f>
        <v>31168737.499999974</v>
      </c>
      <c r="I37" s="514">
        <f>G37-H37</f>
        <v>-4168737.4999999739</v>
      </c>
      <c r="J37" s="552">
        <f>IF(I37=0,"",I37/H37)</f>
        <v>-0.13374739673045716</v>
      </c>
      <c r="K37" s="736">
        <f>D37</f>
        <v>187012424.99999985</v>
      </c>
    </row>
    <row r="38" spans="1:11" ht="12.75" customHeight="1" x14ac:dyDescent="0.25">
      <c r="A38" s="778" t="s">
        <v>1453</v>
      </c>
      <c r="B38" s="169"/>
      <c r="C38" s="748"/>
      <c r="D38" s="745"/>
      <c r="E38" s="733"/>
      <c r="F38" s="733"/>
      <c r="G38" s="733"/>
      <c r="H38" s="733">
        <f t="shared" si="13"/>
        <v>0</v>
      </c>
      <c r="I38" s="514">
        <f t="shared" ref="I38:I44" si="14">G38-H38</f>
        <v>0</v>
      </c>
      <c r="J38" s="552" t="str">
        <f t="shared" ref="J38:J44" si="15">IF(I38=0,"",I38/H38)</f>
        <v/>
      </c>
      <c r="K38" s="735"/>
    </row>
    <row r="39" spans="1:11" ht="12.75" customHeight="1" x14ac:dyDescent="0.25">
      <c r="A39" s="778" t="s">
        <v>1001</v>
      </c>
      <c r="B39" s="169"/>
      <c r="C39" s="748"/>
      <c r="D39" s="745">
        <v>35000000</v>
      </c>
      <c r="E39" s="733"/>
      <c r="F39" s="733"/>
      <c r="G39" s="733">
        <v>10450000</v>
      </c>
      <c r="H39" s="733">
        <f t="shared" si="13"/>
        <v>5833333.333333333</v>
      </c>
      <c r="I39" s="514">
        <f t="shared" si="14"/>
        <v>4616666.666666667</v>
      </c>
      <c r="J39" s="552">
        <f t="shared" si="15"/>
        <v>0.79142857142857148</v>
      </c>
      <c r="K39" s="735">
        <f>D39</f>
        <v>35000000</v>
      </c>
    </row>
    <row r="40" spans="1:11" ht="12.75" customHeight="1" x14ac:dyDescent="0.25">
      <c r="A40" s="778" t="s">
        <v>1454</v>
      </c>
      <c r="B40" s="169"/>
      <c r="C40" s="748"/>
      <c r="D40" s="745"/>
      <c r="E40" s="733"/>
      <c r="F40" s="733"/>
      <c r="G40" s="733"/>
      <c r="H40" s="733">
        <f t="shared" si="13"/>
        <v>0</v>
      </c>
      <c r="I40" s="514">
        <f t="shared" si="14"/>
        <v>0</v>
      </c>
      <c r="J40" s="552" t="str">
        <f t="shared" si="15"/>
        <v/>
      </c>
      <c r="K40" s="735"/>
    </row>
    <row r="41" spans="1:11" ht="12.75" customHeight="1" x14ac:dyDescent="0.25">
      <c r="A41" s="778" t="s">
        <v>1455</v>
      </c>
      <c r="B41" s="169"/>
      <c r="C41" s="748"/>
      <c r="D41" s="745"/>
      <c r="E41" s="733"/>
      <c r="F41" s="733"/>
      <c r="G41" s="733"/>
      <c r="H41" s="733">
        <f t="shared" si="13"/>
        <v>0</v>
      </c>
      <c r="I41" s="514">
        <f t="shared" si="14"/>
        <v>0</v>
      </c>
      <c r="J41" s="552" t="str">
        <f t="shared" si="15"/>
        <v/>
      </c>
      <c r="K41" s="735"/>
    </row>
    <row r="42" spans="1:11" ht="12.75" customHeight="1" x14ac:dyDescent="0.25">
      <c r="A42" s="778" t="s">
        <v>566</v>
      </c>
      <c r="B42" s="169"/>
      <c r="C42" s="748"/>
      <c r="D42" s="745"/>
      <c r="E42" s="733"/>
      <c r="F42" s="733"/>
      <c r="G42" s="733"/>
      <c r="H42" s="733">
        <f t="shared" si="13"/>
        <v>0</v>
      </c>
      <c r="I42" s="514">
        <f t="shared" si="14"/>
        <v>0</v>
      </c>
      <c r="J42" s="552" t="str">
        <f t="shared" si="15"/>
        <v/>
      </c>
      <c r="K42" s="735"/>
    </row>
    <row r="43" spans="1:11" ht="12.75" customHeight="1" x14ac:dyDescent="0.25">
      <c r="A43" s="778" t="s">
        <v>1442</v>
      </c>
      <c r="B43" s="169"/>
      <c r="C43" s="748"/>
      <c r="D43" s="745">
        <v>33255000</v>
      </c>
      <c r="E43" s="733"/>
      <c r="F43" s="733"/>
      <c r="G43" s="733">
        <v>20000000</v>
      </c>
      <c r="H43" s="733">
        <f t="shared" si="13"/>
        <v>5542500</v>
      </c>
      <c r="I43" s="514">
        <f t="shared" si="14"/>
        <v>14457500</v>
      </c>
      <c r="J43" s="552">
        <f t="shared" si="15"/>
        <v>2.6084799278304014</v>
      </c>
      <c r="K43" s="735">
        <f>D43</f>
        <v>33255000</v>
      </c>
    </row>
    <row r="44" spans="1:11" ht="12.75" customHeight="1" x14ac:dyDescent="0.25">
      <c r="A44" s="778" t="s">
        <v>1456</v>
      </c>
      <c r="B44" s="169"/>
      <c r="C44" s="748"/>
      <c r="D44" s="745"/>
      <c r="E44" s="733"/>
      <c r="F44" s="733"/>
      <c r="G44" s="733"/>
      <c r="H44" s="733">
        <f t="shared" si="13"/>
        <v>0</v>
      </c>
      <c r="I44" s="514">
        <f t="shared" si="14"/>
        <v>0</v>
      </c>
      <c r="J44" s="552" t="str">
        <f t="shared" si="15"/>
        <v/>
      </c>
      <c r="K44" s="735"/>
    </row>
    <row r="45" spans="1:11" ht="12.75" customHeight="1" x14ac:dyDescent="0.25">
      <c r="A45" s="342" t="str">
        <f>A17</f>
        <v>Provincial Government:</v>
      </c>
      <c r="B45" s="169"/>
      <c r="C45" s="516">
        <f t="shared" ref="C45:H45" si="16">SUM(C46:C56)</f>
        <v>0</v>
      </c>
      <c r="D45" s="475">
        <f t="shared" si="16"/>
        <v>270624156</v>
      </c>
      <c r="E45" s="430">
        <f t="shared" si="16"/>
        <v>0</v>
      </c>
      <c r="F45" s="430">
        <f t="shared" si="16"/>
        <v>0</v>
      </c>
      <c r="G45" s="430">
        <f t="shared" si="16"/>
        <v>0</v>
      </c>
      <c r="H45" s="430">
        <f t="shared" si="16"/>
        <v>45104026</v>
      </c>
      <c r="I45" s="514">
        <f t="shared" ref="I45:I60" si="17">G45-H45</f>
        <v>-45104026</v>
      </c>
      <c r="J45" s="552">
        <f>IF(I45=0,"",I45/H45)</f>
        <v>-1</v>
      </c>
      <c r="K45" s="513">
        <f>SUM(K46:K56)</f>
        <v>270624156</v>
      </c>
    </row>
    <row r="46" spans="1:11" ht="12.75" customHeight="1" x14ac:dyDescent="0.25">
      <c r="A46" s="781" t="s">
        <v>1457</v>
      </c>
      <c r="B46" s="169"/>
      <c r="C46" s="783"/>
      <c r="D46" s="784"/>
      <c r="E46" s="737"/>
      <c r="F46" s="737"/>
      <c r="G46" s="737"/>
      <c r="H46" s="737">
        <f t="shared" ref="H46:H56" si="18">D46/12*2</f>
        <v>0</v>
      </c>
      <c r="I46" s="514">
        <f t="shared" si="17"/>
        <v>0</v>
      </c>
      <c r="J46" s="552" t="str">
        <f t="shared" ref="J46:J55" si="19">IF(I46=0,"",I46/H46)</f>
        <v/>
      </c>
      <c r="K46" s="738"/>
    </row>
    <row r="47" spans="1:11" ht="12.75" customHeight="1" x14ac:dyDescent="0.25">
      <c r="A47" s="785" t="s">
        <v>771</v>
      </c>
      <c r="B47" s="169"/>
      <c r="C47" s="786"/>
      <c r="D47" s="787"/>
      <c r="E47" s="788"/>
      <c r="F47" s="788"/>
      <c r="G47" s="788"/>
      <c r="H47" s="788">
        <f t="shared" si="18"/>
        <v>0</v>
      </c>
      <c r="I47" s="44">
        <f t="shared" si="17"/>
        <v>0</v>
      </c>
      <c r="J47" s="124" t="str">
        <f t="shared" si="19"/>
        <v/>
      </c>
      <c r="K47" s="789"/>
    </row>
    <row r="48" spans="1:11" ht="12.75" customHeight="1" x14ac:dyDescent="0.25">
      <c r="A48" s="785" t="s">
        <v>1458</v>
      </c>
      <c r="B48" s="169"/>
      <c r="C48" s="786"/>
      <c r="D48" s="787"/>
      <c r="E48" s="788"/>
      <c r="F48" s="788"/>
      <c r="G48" s="788"/>
      <c r="H48" s="788">
        <f t="shared" si="18"/>
        <v>0</v>
      </c>
      <c r="I48" s="44">
        <f t="shared" si="17"/>
        <v>0</v>
      </c>
      <c r="J48" s="124" t="str">
        <f t="shared" si="19"/>
        <v/>
      </c>
      <c r="K48" s="789"/>
    </row>
    <row r="49" spans="1:11" ht="12.75" customHeight="1" x14ac:dyDescent="0.25">
      <c r="A49" s="785" t="s">
        <v>1444</v>
      </c>
      <c r="B49" s="169"/>
      <c r="C49" s="786"/>
      <c r="D49" s="787">
        <v>6124156</v>
      </c>
      <c r="E49" s="788"/>
      <c r="F49" s="788"/>
      <c r="G49" s="788"/>
      <c r="H49" s="788">
        <f t="shared" si="18"/>
        <v>1020692.6666666666</v>
      </c>
      <c r="I49" s="44">
        <f t="shared" si="17"/>
        <v>-1020692.6666666666</v>
      </c>
      <c r="J49" s="124">
        <f t="shared" si="19"/>
        <v>-1</v>
      </c>
      <c r="K49" s="789">
        <f>D49</f>
        <v>6124156</v>
      </c>
    </row>
    <row r="50" spans="1:11" ht="12.75" customHeight="1" x14ac:dyDescent="0.25">
      <c r="A50" s="785" t="s">
        <v>1459</v>
      </c>
      <c r="B50" s="169"/>
      <c r="C50" s="786"/>
      <c r="D50" s="787">
        <v>2500000</v>
      </c>
      <c r="E50" s="788"/>
      <c r="F50" s="788"/>
      <c r="G50" s="788"/>
      <c r="H50" s="788">
        <f t="shared" si="18"/>
        <v>416666.66666666669</v>
      </c>
      <c r="I50" s="44">
        <f t="shared" si="17"/>
        <v>-416666.66666666669</v>
      </c>
      <c r="J50" s="124">
        <f t="shared" si="19"/>
        <v>-1</v>
      </c>
      <c r="K50" s="789">
        <f t="shared" ref="K50:K56" si="20">D50</f>
        <v>2500000</v>
      </c>
    </row>
    <row r="51" spans="1:11" ht="12.75" customHeight="1" x14ac:dyDescent="0.25">
      <c r="A51" s="785" t="s">
        <v>1439</v>
      </c>
      <c r="B51" s="169"/>
      <c r="C51" s="786"/>
      <c r="D51" s="787">
        <v>774000</v>
      </c>
      <c r="E51" s="788"/>
      <c r="F51" s="788"/>
      <c r="G51" s="788"/>
      <c r="H51" s="788">
        <f t="shared" si="18"/>
        <v>129000</v>
      </c>
      <c r="I51" s="44">
        <f t="shared" si="17"/>
        <v>-129000</v>
      </c>
      <c r="J51" s="124">
        <f t="shared" si="19"/>
        <v>-1</v>
      </c>
      <c r="K51" s="789">
        <f t="shared" si="20"/>
        <v>774000</v>
      </c>
    </row>
    <row r="52" spans="1:11" ht="12.75" customHeight="1" x14ac:dyDescent="0.25">
      <c r="A52" s="785" t="s">
        <v>1440</v>
      </c>
      <c r="B52" s="169"/>
      <c r="C52" s="786"/>
      <c r="D52" s="787"/>
      <c r="E52" s="788"/>
      <c r="F52" s="788"/>
      <c r="G52" s="788"/>
      <c r="H52" s="788">
        <f t="shared" si="18"/>
        <v>0</v>
      </c>
      <c r="I52" s="44">
        <f t="shared" si="17"/>
        <v>0</v>
      </c>
      <c r="J52" s="124" t="str">
        <f t="shared" si="19"/>
        <v/>
      </c>
      <c r="K52" s="789"/>
    </row>
    <row r="53" spans="1:11" ht="12.75" customHeight="1" x14ac:dyDescent="0.25">
      <c r="A53" s="785" t="s">
        <v>1443</v>
      </c>
      <c r="B53" s="169"/>
      <c r="C53" s="786"/>
      <c r="D53" s="787">
        <v>244264000</v>
      </c>
      <c r="E53" s="788"/>
      <c r="F53" s="788"/>
      <c r="G53" s="788"/>
      <c r="H53" s="788">
        <f t="shared" si="18"/>
        <v>40710666.666666664</v>
      </c>
      <c r="I53" s="44">
        <f t="shared" si="17"/>
        <v>-40710666.666666664</v>
      </c>
      <c r="J53" s="124">
        <f t="shared" si="19"/>
        <v>-1</v>
      </c>
      <c r="K53" s="789">
        <f t="shared" si="20"/>
        <v>244264000</v>
      </c>
    </row>
    <row r="54" spans="1:11" ht="12.75" customHeight="1" x14ac:dyDescent="0.25">
      <c r="A54" s="785" t="s">
        <v>1445</v>
      </c>
      <c r="B54" s="169"/>
      <c r="C54" s="786"/>
      <c r="D54" s="787">
        <v>6750000</v>
      </c>
      <c r="E54" s="788"/>
      <c r="F54" s="788"/>
      <c r="G54" s="788"/>
      <c r="H54" s="788">
        <f t="shared" si="18"/>
        <v>1125000</v>
      </c>
      <c r="I54" s="44">
        <f t="shared" si="17"/>
        <v>-1125000</v>
      </c>
      <c r="J54" s="124">
        <f t="shared" si="19"/>
        <v>-1</v>
      </c>
      <c r="K54" s="789">
        <f t="shared" si="20"/>
        <v>6750000</v>
      </c>
    </row>
    <row r="55" spans="1:11" ht="12.75" customHeight="1" x14ac:dyDescent="0.25">
      <c r="A55" s="785" t="s">
        <v>623</v>
      </c>
      <c r="B55" s="169"/>
      <c r="C55" s="786"/>
      <c r="D55" s="787"/>
      <c r="E55" s="788"/>
      <c r="F55" s="788"/>
      <c r="G55" s="788"/>
      <c r="H55" s="788">
        <f t="shared" si="18"/>
        <v>0</v>
      </c>
      <c r="I55" s="44">
        <f t="shared" si="17"/>
        <v>0</v>
      </c>
      <c r="J55" s="124" t="str">
        <f t="shared" si="19"/>
        <v/>
      </c>
      <c r="K55" s="789"/>
    </row>
    <row r="56" spans="1:11" ht="12.75" customHeight="1" x14ac:dyDescent="0.25">
      <c r="A56" s="782" t="s">
        <v>1446</v>
      </c>
      <c r="B56" s="169"/>
      <c r="C56" s="748"/>
      <c r="D56" s="745">
        <v>10212000</v>
      </c>
      <c r="E56" s="733"/>
      <c r="F56" s="733"/>
      <c r="G56" s="733"/>
      <c r="H56" s="733">
        <f t="shared" si="18"/>
        <v>1702000</v>
      </c>
      <c r="I56" s="44">
        <f t="shared" si="17"/>
        <v>-1702000</v>
      </c>
      <c r="J56" s="124">
        <f t="shared" ref="J56:J61" si="21">IF(I56=0,"",I56/H56)</f>
        <v>-1</v>
      </c>
      <c r="K56" s="789">
        <f t="shared" si="20"/>
        <v>10212000</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0</v>
      </c>
      <c r="D61" s="475">
        <f t="shared" si="24"/>
        <v>525891580.99999988</v>
      </c>
      <c r="E61" s="430">
        <f t="shared" si="24"/>
        <v>0</v>
      </c>
      <c r="F61" s="430">
        <f t="shared" si="24"/>
        <v>0</v>
      </c>
      <c r="G61" s="430">
        <f t="shared" si="24"/>
        <v>57450000</v>
      </c>
      <c r="H61" s="430">
        <f t="shared" si="24"/>
        <v>87648596.833333313</v>
      </c>
      <c r="I61" s="430">
        <f t="shared" si="24"/>
        <v>-30198596.833333306</v>
      </c>
      <c r="J61" s="553">
        <f t="shared" si="21"/>
        <v>-0.34454170316904137</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0</v>
      </c>
      <c r="D63" s="305">
        <f t="shared" si="25"/>
        <v>1201374821</v>
      </c>
      <c r="E63" s="306">
        <f t="shared" si="25"/>
        <v>0</v>
      </c>
      <c r="F63" s="306">
        <f t="shared" si="25"/>
        <v>271593789.24000001</v>
      </c>
      <c r="G63" s="306">
        <f t="shared" si="25"/>
        <v>336509847.38</v>
      </c>
      <c r="H63" s="306">
        <f t="shared" si="25"/>
        <v>200229136.83333331</v>
      </c>
      <c r="I63" s="306">
        <f t="shared" si="25"/>
        <v>136280710.54666668</v>
      </c>
      <c r="J63" s="307">
        <f>IF(I63=0,"",I63/H63)</f>
        <v>0.68062377285331854</v>
      </c>
      <c r="K63" s="308">
        <f>K33+K61</f>
        <v>1201374821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47" activePane="bottomRight" state="frozen"/>
      <selection pane="topRight"/>
      <selection pane="bottomLeft"/>
      <selection pane="bottomRight" sqref="A1:K64"/>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"&amp;S71M&amp; " - "&amp;Head57</f>
        <v>KZN225 Msunduzi - Supporting Table SC7(1) Monthly Budget Statement - transfers and grant expenditure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0</v>
      </c>
      <c r="F8" s="50">
        <f t="shared" si="0"/>
        <v>2831689.5529999994</v>
      </c>
      <c r="G8" s="50">
        <f t="shared" si="0"/>
        <v>3408292.6329999994</v>
      </c>
      <c r="H8" s="50">
        <f t="shared" si="0"/>
        <v>101434762.49999999</v>
      </c>
      <c r="I8" s="50">
        <f t="shared" si="0"/>
        <v>-98026469.866999984</v>
      </c>
      <c r="J8" s="343">
        <f t="shared" ref="J8:J33" si="1">IF(I8=0,"",I8/H8)</f>
        <v>-0.96639916583824015</v>
      </c>
      <c r="K8" s="194">
        <f>SUM(K9:K16)</f>
        <v>608608575</v>
      </c>
    </row>
    <row r="9" spans="1:11" x14ac:dyDescent="0.25">
      <c r="A9" s="396" t="s">
        <v>986</v>
      </c>
      <c r="B9" s="169"/>
      <c r="C9" s="779"/>
      <c r="D9" s="780">
        <v>593405000</v>
      </c>
      <c r="E9" s="734"/>
      <c r="F9" s="734"/>
      <c r="G9" s="734"/>
      <c r="H9" s="733">
        <f>D9/12*2</f>
        <v>98900833.333333328</v>
      </c>
      <c r="I9" s="514">
        <f>G9-H9</f>
        <v>-98900833.333333328</v>
      </c>
      <c r="J9" s="552">
        <f t="shared" si="1"/>
        <v>-1</v>
      </c>
      <c r="K9" s="736">
        <f>D9</f>
        <v>593405000</v>
      </c>
    </row>
    <row r="10" spans="1:11" x14ac:dyDescent="0.25">
      <c r="A10" s="396" t="s">
        <v>988</v>
      </c>
      <c r="B10" s="169"/>
      <c r="C10" s="748"/>
      <c r="D10" s="745">
        <v>1700000</v>
      </c>
      <c r="E10" s="733"/>
      <c r="F10" s="733">
        <v>132085.24</v>
      </c>
      <c r="G10" s="733">
        <v>75336.799999999988</v>
      </c>
      <c r="H10" s="733">
        <f>D10/12*2</f>
        <v>283333.33333333331</v>
      </c>
      <c r="I10" s="514">
        <f t="shared" ref="I10:I16" si="2">G10-H10</f>
        <v>-207996.53333333333</v>
      </c>
      <c r="J10" s="552">
        <f t="shared" ref="J10:J16" si="3">IF(I10=0,"",I10/H10)</f>
        <v>-0.7341054117647059</v>
      </c>
      <c r="K10" s="736">
        <f t="shared" ref="K10:K16" si="4">D10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c r="F12" s="733"/>
      <c r="G12" s="733"/>
      <c r="H12" s="733">
        <f>D12/12*2</f>
        <v>731333.33333333337</v>
      </c>
      <c r="I12" s="514">
        <f t="shared" si="2"/>
        <v>-731333.33333333337</v>
      </c>
      <c r="J12" s="552">
        <f t="shared" si="3"/>
        <v>-1</v>
      </c>
      <c r="K12" s="736">
        <f t="shared" si="4"/>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447885.21</v>
      </c>
      <c r="G14" s="733">
        <v>862617.65</v>
      </c>
      <c r="H14" s="733"/>
      <c r="I14" s="514">
        <f t="shared" si="2"/>
        <v>862617.65</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c r="F16" s="733">
        <v>2251719.1029999997</v>
      </c>
      <c r="G16" s="733">
        <v>2470338.1829999997</v>
      </c>
      <c r="H16" s="733">
        <f>D16/12*2</f>
        <v>1519262.5</v>
      </c>
      <c r="I16" s="514">
        <f t="shared" si="2"/>
        <v>951075.68299999973</v>
      </c>
      <c r="J16" s="552">
        <f t="shared" si="3"/>
        <v>0.62601142528035791</v>
      </c>
      <c r="K16" s="736">
        <f t="shared" si="4"/>
        <v>9115575</v>
      </c>
    </row>
    <row r="17" spans="1:11" ht="12.75" customHeight="1" x14ac:dyDescent="0.25">
      <c r="A17" s="397" t="str">
        <f>'SC6'!A17</f>
        <v>Provincial Government:</v>
      </c>
      <c r="B17" s="169"/>
      <c r="C17" s="516">
        <f t="shared" ref="C17:I17" si="5">SUM(C18:C28)</f>
        <v>0</v>
      </c>
      <c r="D17" s="475">
        <f t="shared" si="5"/>
        <v>66874665</v>
      </c>
      <c r="E17" s="430">
        <f t="shared" si="5"/>
        <v>0</v>
      </c>
      <c r="F17" s="430">
        <f t="shared" si="5"/>
        <v>7087937.0800000001</v>
      </c>
      <c r="G17" s="430">
        <f t="shared" si="5"/>
        <v>5846022.4800000004</v>
      </c>
      <c r="H17" s="430">
        <f t="shared" si="5"/>
        <v>11145777.5</v>
      </c>
      <c r="I17" s="430">
        <f t="shared" si="5"/>
        <v>-5299755.0199999996</v>
      </c>
      <c r="J17" s="553">
        <f t="shared" si="1"/>
        <v>-0.47549442109354861</v>
      </c>
      <c r="K17" s="513">
        <f>SUM(K18:K28)</f>
        <v>66874665</v>
      </c>
    </row>
    <row r="18" spans="1:11" ht="12.75" customHeight="1" x14ac:dyDescent="0.25">
      <c r="A18" s="396" t="s">
        <v>623</v>
      </c>
      <c r="B18" s="169"/>
      <c r="C18" s="779"/>
      <c r="D18" s="780"/>
      <c r="E18" s="734"/>
      <c r="F18" s="734"/>
      <c r="G18" s="734"/>
      <c r="H18" s="734">
        <f t="shared" ref="H18:H28" si="6">D18/12*2</f>
        <v>0</v>
      </c>
      <c r="I18" s="514">
        <f t="shared" ref="I18:I28" si="7">G18-H18</f>
        <v>0</v>
      </c>
      <c r="J18" s="552" t="str">
        <f t="shared" si="1"/>
        <v/>
      </c>
      <c r="K18" s="736"/>
    </row>
    <row r="19" spans="1:11" ht="12.75" customHeight="1" x14ac:dyDescent="0.25">
      <c r="A19" s="396" t="s">
        <v>1452</v>
      </c>
      <c r="B19" s="169"/>
      <c r="C19" s="748"/>
      <c r="D19" s="745"/>
      <c r="E19" s="733"/>
      <c r="F19" s="733"/>
      <c r="G19" s="733"/>
      <c r="H19" s="733">
        <f t="shared" si="6"/>
        <v>0</v>
      </c>
      <c r="I19" s="44">
        <f t="shared" si="7"/>
        <v>0</v>
      </c>
      <c r="J19" s="124" t="str">
        <f t="shared" si="1"/>
        <v/>
      </c>
      <c r="K19" s="735"/>
    </row>
    <row r="20" spans="1:11" ht="12.75" customHeight="1" x14ac:dyDescent="0.25">
      <c r="A20" s="396" t="s">
        <v>771</v>
      </c>
      <c r="B20" s="169"/>
      <c r="C20" s="748"/>
      <c r="D20" s="745"/>
      <c r="E20" s="733"/>
      <c r="F20" s="733"/>
      <c r="G20" s="733"/>
      <c r="H20" s="733">
        <f t="shared" si="6"/>
        <v>0</v>
      </c>
      <c r="I20" s="44">
        <f t="shared" si="7"/>
        <v>0</v>
      </c>
      <c r="J20" s="124" t="str">
        <f t="shared" si="1"/>
        <v/>
      </c>
      <c r="K20" s="735"/>
    </row>
    <row r="21" spans="1:11" ht="12.75" customHeight="1" x14ac:dyDescent="0.25">
      <c r="A21" s="396" t="s">
        <v>1434</v>
      </c>
      <c r="B21" s="169"/>
      <c r="C21" s="748"/>
      <c r="D21" s="745">
        <v>3603000</v>
      </c>
      <c r="E21" s="733"/>
      <c r="F21" s="733"/>
      <c r="G21" s="733"/>
      <c r="H21" s="733">
        <f t="shared" si="6"/>
        <v>600500</v>
      </c>
      <c r="I21" s="44">
        <f t="shared" si="7"/>
        <v>-600500</v>
      </c>
      <c r="J21" s="124">
        <f t="shared" si="1"/>
        <v>-1</v>
      </c>
      <c r="K21" s="735">
        <f t="shared" ref="K21:K28" si="8">D21</f>
        <v>3603000</v>
      </c>
    </row>
    <row r="22" spans="1:11" ht="12.75" customHeight="1" x14ac:dyDescent="0.25">
      <c r="A22" s="396" t="s">
        <v>1435</v>
      </c>
      <c r="B22" s="169"/>
      <c r="C22" s="748"/>
      <c r="D22" s="745">
        <v>4264000</v>
      </c>
      <c r="E22" s="733"/>
      <c r="F22" s="733"/>
      <c r="G22" s="733"/>
      <c r="H22" s="733">
        <f t="shared" si="6"/>
        <v>710666.66666666663</v>
      </c>
      <c r="I22" s="44">
        <f t="shared" si="7"/>
        <v>-710666.66666666663</v>
      </c>
      <c r="J22" s="124">
        <f t="shared" si="1"/>
        <v>-1</v>
      </c>
      <c r="K22" s="735">
        <f t="shared" si="8"/>
        <v>4264000</v>
      </c>
    </row>
    <row r="23" spans="1:11" ht="12.75" customHeight="1" x14ac:dyDescent="0.25">
      <c r="A23" s="396" t="s">
        <v>1436</v>
      </c>
      <c r="B23" s="169"/>
      <c r="C23" s="748"/>
      <c r="D23" s="745">
        <v>24079242</v>
      </c>
      <c r="E23" s="733"/>
      <c r="F23" s="733"/>
      <c r="G23" s="733"/>
      <c r="H23" s="733">
        <f t="shared" si="6"/>
        <v>4013207</v>
      </c>
      <c r="I23" s="44">
        <f t="shared" si="7"/>
        <v>-4013207</v>
      </c>
      <c r="J23" s="124">
        <f t="shared" si="1"/>
        <v>-1</v>
      </c>
      <c r="K23" s="735">
        <f t="shared" si="8"/>
        <v>24079242</v>
      </c>
    </row>
    <row r="24" spans="1:11" ht="12.75" customHeight="1" x14ac:dyDescent="0.25">
      <c r="A24" s="396" t="s">
        <v>1437</v>
      </c>
      <c r="B24" s="169"/>
      <c r="C24" s="748"/>
      <c r="D24" s="745">
        <v>22740423</v>
      </c>
      <c r="E24" s="733"/>
      <c r="F24" s="733">
        <v>5418128.1600000001</v>
      </c>
      <c r="G24" s="733">
        <v>5418128.1500000004</v>
      </c>
      <c r="H24" s="733">
        <f t="shared" si="6"/>
        <v>3790070.5</v>
      </c>
      <c r="I24" s="44">
        <f t="shared" si="7"/>
        <v>1628057.6500000004</v>
      </c>
      <c r="J24" s="124">
        <f t="shared" si="1"/>
        <v>0.42955867179779383</v>
      </c>
      <c r="K24" s="735">
        <f t="shared" si="8"/>
        <v>22740423</v>
      </c>
    </row>
    <row r="25" spans="1:11" ht="12.75" customHeight="1" x14ac:dyDescent="0.25">
      <c r="A25" s="396" t="s">
        <v>1451</v>
      </c>
      <c r="B25" s="169"/>
      <c r="C25" s="748"/>
      <c r="D25" s="745"/>
      <c r="E25" s="733"/>
      <c r="F25" s="733">
        <v>1649453.92</v>
      </c>
      <c r="G25" s="733">
        <v>1510517.73</v>
      </c>
      <c r="H25" s="733">
        <f t="shared" si="6"/>
        <v>0</v>
      </c>
      <c r="I25" s="44">
        <f t="shared" si="7"/>
        <v>1510517.73</v>
      </c>
      <c r="J25" s="124" t="e">
        <f t="shared" si="1"/>
        <v>#DIV/0!</v>
      </c>
      <c r="K25" s="735"/>
    </row>
    <row r="26" spans="1:11" ht="12.75" customHeight="1" x14ac:dyDescent="0.25">
      <c r="A26" s="396" t="s">
        <v>1438</v>
      </c>
      <c r="B26" s="169"/>
      <c r="C26" s="748"/>
      <c r="D26" s="745">
        <v>10200000</v>
      </c>
      <c r="E26" s="733"/>
      <c r="F26" s="733">
        <v>20355</v>
      </c>
      <c r="G26" s="733"/>
      <c r="H26" s="733">
        <f t="shared" si="6"/>
        <v>1700000</v>
      </c>
      <c r="I26" s="44">
        <f t="shared" si="7"/>
        <v>-1700000</v>
      </c>
      <c r="J26" s="124">
        <f t="shared" si="1"/>
        <v>-1</v>
      </c>
      <c r="K26" s="735">
        <f t="shared" si="8"/>
        <v>10200000</v>
      </c>
    </row>
    <row r="27" spans="1:11" ht="12.75" customHeight="1" x14ac:dyDescent="0.25">
      <c r="A27" s="396" t="s">
        <v>1439</v>
      </c>
      <c r="B27" s="169"/>
      <c r="C27" s="748"/>
      <c r="D27" s="745">
        <v>488000</v>
      </c>
      <c r="E27" s="733"/>
      <c r="F27" s="733"/>
      <c r="G27" s="733"/>
      <c r="H27" s="733">
        <f t="shared" si="6"/>
        <v>81333.333333333328</v>
      </c>
      <c r="I27" s="44">
        <f t="shared" si="7"/>
        <v>-81333.333333333328</v>
      </c>
      <c r="J27" s="124">
        <f t="shared" si="1"/>
        <v>-1</v>
      </c>
      <c r="K27" s="735">
        <f t="shared" si="8"/>
        <v>488000</v>
      </c>
    </row>
    <row r="28" spans="1:11" ht="12.75" customHeight="1" x14ac:dyDescent="0.25">
      <c r="A28" s="396" t="s">
        <v>1440</v>
      </c>
      <c r="B28" s="169"/>
      <c r="C28" s="748"/>
      <c r="D28" s="745">
        <v>1500000</v>
      </c>
      <c r="E28" s="733"/>
      <c r="F28" s="733">
        <v>0</v>
      </c>
      <c r="G28" s="733">
        <v>-1082623.3999999999</v>
      </c>
      <c r="H28" s="733">
        <f t="shared" si="6"/>
        <v>250000</v>
      </c>
      <c r="I28" s="44">
        <f t="shared" si="7"/>
        <v>-1332623.3999999999</v>
      </c>
      <c r="J28" s="124">
        <f t="shared" si="1"/>
        <v>-5.3304935999999996</v>
      </c>
      <c r="K28" s="735">
        <f t="shared" si="8"/>
        <v>1500000</v>
      </c>
    </row>
    <row r="29" spans="1:11" ht="12.75" customHeight="1" x14ac:dyDescent="0.25">
      <c r="A29" s="397" t="str">
        <f>'SC6'!A29</f>
        <v>District Municipality:</v>
      </c>
      <c r="B29" s="169"/>
      <c r="C29" s="516">
        <f t="shared" ref="C29:H29" si="9">SUM(C30:C30)</f>
        <v>0</v>
      </c>
      <c r="D29" s="475">
        <f t="shared" si="9"/>
        <v>0</v>
      </c>
      <c r="E29" s="430">
        <f t="shared" si="9"/>
        <v>0</v>
      </c>
      <c r="F29" s="430">
        <f t="shared" si="9"/>
        <v>0</v>
      </c>
      <c r="G29" s="430">
        <f t="shared" si="9"/>
        <v>0</v>
      </c>
      <c r="H29" s="430">
        <f t="shared" si="9"/>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0">SUM(C32:C32)</f>
        <v>0</v>
      </c>
      <c r="D31" s="475">
        <f t="shared" si="10"/>
        <v>0</v>
      </c>
      <c r="E31" s="430">
        <f t="shared" si="10"/>
        <v>0</v>
      </c>
      <c r="F31" s="430">
        <f t="shared" si="10"/>
        <v>0</v>
      </c>
      <c r="G31" s="430">
        <f t="shared" si="10"/>
        <v>0</v>
      </c>
      <c r="H31" s="430">
        <f t="shared" si="10"/>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1">C8+C17+C29+C31</f>
        <v>0</v>
      </c>
      <c r="D33" s="74">
        <f t="shared" si="11"/>
        <v>675483240</v>
      </c>
      <c r="E33" s="73">
        <f t="shared" si="11"/>
        <v>0</v>
      </c>
      <c r="F33" s="73">
        <f t="shared" si="11"/>
        <v>9919626.6329999994</v>
      </c>
      <c r="G33" s="73">
        <f t="shared" si="11"/>
        <v>9254315.1129999999</v>
      </c>
      <c r="H33" s="73">
        <f t="shared" si="11"/>
        <v>112580539.99999999</v>
      </c>
      <c r="I33" s="73">
        <f t="shared" si="11"/>
        <v>-103326224.88699998</v>
      </c>
      <c r="J33" s="304">
        <f t="shared" si="1"/>
        <v>-0.9177982703493871</v>
      </c>
      <c r="K33" s="145">
        <f>K8+K17+K29+K31</f>
        <v>675483240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2">SUM(C37:C44)</f>
        <v>0</v>
      </c>
      <c r="D36" s="46">
        <f t="shared" si="12"/>
        <v>255267424.99999985</v>
      </c>
      <c r="E36" s="44">
        <f t="shared" si="12"/>
        <v>0</v>
      </c>
      <c r="F36" s="44">
        <f t="shared" si="12"/>
        <v>20265471.926999997</v>
      </c>
      <c r="G36" s="44">
        <f t="shared" si="12"/>
        <v>22233043.647</v>
      </c>
      <c r="H36" s="44">
        <f t="shared" si="12"/>
        <v>42544570.833333306</v>
      </c>
      <c r="I36" s="44">
        <f t="shared" si="12"/>
        <v>-20311527.186333306</v>
      </c>
      <c r="J36" s="343">
        <f>IF(I36=0,"",I36/H36)</f>
        <v>-0.47741760672361511</v>
      </c>
      <c r="K36" s="144">
        <f t="shared" si="12"/>
        <v>255267424.99999985</v>
      </c>
    </row>
    <row r="37" spans="1:11" ht="12.75" customHeight="1" x14ac:dyDescent="0.25">
      <c r="A37" s="396" t="s">
        <v>1441</v>
      </c>
      <c r="B37" s="169"/>
      <c r="C37" s="779"/>
      <c r="D37" s="780">
        <v>187012424.99999985</v>
      </c>
      <c r="E37" s="734"/>
      <c r="F37" s="734">
        <v>20265471.926999997</v>
      </c>
      <c r="G37" s="734">
        <v>22233043.647</v>
      </c>
      <c r="H37" s="734">
        <f t="shared" ref="H37:H44" si="13">D37/12*2</f>
        <v>31168737.499999974</v>
      </c>
      <c r="I37" s="514">
        <f>G37-H37</f>
        <v>-8935693.852999974</v>
      </c>
      <c r="J37" s="552">
        <f>IF(I37=0,"",I37/H37)</f>
        <v>-0.28668770600669924</v>
      </c>
      <c r="K37" s="736">
        <f>D37</f>
        <v>187012424.99999985</v>
      </c>
    </row>
    <row r="38" spans="1:11" ht="12" customHeight="1" x14ac:dyDescent="0.25">
      <c r="A38" s="396" t="s">
        <v>1453</v>
      </c>
      <c r="B38" s="169"/>
      <c r="C38" s="748"/>
      <c r="D38" s="745"/>
      <c r="E38" s="733"/>
      <c r="F38" s="733"/>
      <c r="G38" s="733"/>
      <c r="H38" s="733">
        <f t="shared" si="13"/>
        <v>0</v>
      </c>
      <c r="I38" s="44">
        <f t="shared" ref="I38:I44" si="14">G38-H38</f>
        <v>0</v>
      </c>
      <c r="J38" s="124" t="str">
        <f t="shared" ref="J38:J44" si="15">IF(I38=0,"",I38/H38)</f>
        <v/>
      </c>
      <c r="K38" s="736"/>
    </row>
    <row r="39" spans="1:11" ht="12" customHeight="1" x14ac:dyDescent="0.25">
      <c r="A39" s="396" t="s">
        <v>1001</v>
      </c>
      <c r="B39" s="169"/>
      <c r="C39" s="748"/>
      <c r="D39" s="745">
        <v>35000000</v>
      </c>
      <c r="E39" s="733"/>
      <c r="F39" s="733"/>
      <c r="G39" s="733"/>
      <c r="H39" s="733">
        <f t="shared" si="13"/>
        <v>5833333.333333333</v>
      </c>
      <c r="I39" s="44">
        <f t="shared" si="14"/>
        <v>-5833333.333333333</v>
      </c>
      <c r="J39" s="124">
        <f t="shared" si="15"/>
        <v>-1</v>
      </c>
      <c r="K39" s="736">
        <f>D39</f>
        <v>35000000</v>
      </c>
    </row>
    <row r="40" spans="1:11" ht="12" customHeight="1" x14ac:dyDescent="0.25">
      <c r="A40" s="396" t="s">
        <v>1454</v>
      </c>
      <c r="B40" s="169"/>
      <c r="C40" s="748"/>
      <c r="D40" s="745"/>
      <c r="E40" s="733"/>
      <c r="F40" s="733"/>
      <c r="G40" s="733"/>
      <c r="H40" s="733">
        <f t="shared" si="13"/>
        <v>0</v>
      </c>
      <c r="I40" s="44">
        <f t="shared" si="14"/>
        <v>0</v>
      </c>
      <c r="J40" s="124" t="str">
        <f t="shared" si="15"/>
        <v/>
      </c>
      <c r="K40" s="736"/>
    </row>
    <row r="41" spans="1:11" ht="12.75" customHeight="1" x14ac:dyDescent="0.25">
      <c r="A41" s="396" t="s">
        <v>1455</v>
      </c>
      <c r="B41" s="169"/>
      <c r="C41" s="748"/>
      <c r="D41" s="745"/>
      <c r="E41" s="733"/>
      <c r="F41" s="733"/>
      <c r="G41" s="733"/>
      <c r="H41" s="733">
        <f t="shared" si="13"/>
        <v>0</v>
      </c>
      <c r="I41" s="44">
        <f t="shared" si="14"/>
        <v>0</v>
      </c>
      <c r="J41" s="124" t="str">
        <f t="shared" si="15"/>
        <v/>
      </c>
      <c r="K41" s="736"/>
    </row>
    <row r="42" spans="1:11" ht="12.75" customHeight="1" x14ac:dyDescent="0.25">
      <c r="A42" s="396" t="s">
        <v>566</v>
      </c>
      <c r="B42" s="169"/>
      <c r="C42" s="748"/>
      <c r="D42" s="745"/>
      <c r="E42" s="733"/>
      <c r="F42" s="733"/>
      <c r="G42" s="733"/>
      <c r="H42" s="733">
        <f t="shared" si="13"/>
        <v>0</v>
      </c>
      <c r="I42" s="44">
        <f t="shared" si="14"/>
        <v>0</v>
      </c>
      <c r="J42" s="124" t="str">
        <f t="shared" si="15"/>
        <v/>
      </c>
      <c r="K42" s="736"/>
    </row>
    <row r="43" spans="1:11" ht="12.75" customHeight="1" x14ac:dyDescent="0.25">
      <c r="A43" s="396" t="s">
        <v>1442</v>
      </c>
      <c r="B43" s="169"/>
      <c r="C43" s="748"/>
      <c r="D43" s="745">
        <v>33255000</v>
      </c>
      <c r="E43" s="733"/>
      <c r="F43" s="733"/>
      <c r="G43" s="733"/>
      <c r="H43" s="733">
        <f t="shared" si="13"/>
        <v>5542500</v>
      </c>
      <c r="I43" s="44">
        <f t="shared" si="14"/>
        <v>-5542500</v>
      </c>
      <c r="J43" s="124">
        <f t="shared" si="15"/>
        <v>-1</v>
      </c>
      <c r="K43" s="736">
        <f>D43</f>
        <v>33255000</v>
      </c>
    </row>
    <row r="44" spans="1:11" ht="12.75" customHeight="1" x14ac:dyDescent="0.25">
      <c r="A44" s="396" t="s">
        <v>1456</v>
      </c>
      <c r="B44" s="169"/>
      <c r="C44" s="748"/>
      <c r="D44" s="745"/>
      <c r="E44" s="733"/>
      <c r="F44" s="733"/>
      <c r="G44" s="733"/>
      <c r="H44" s="733">
        <f t="shared" si="13"/>
        <v>0</v>
      </c>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0</v>
      </c>
      <c r="F45" s="430">
        <f t="shared" si="16"/>
        <v>3975081.51</v>
      </c>
      <c r="G45" s="430">
        <f t="shared" si="16"/>
        <v>4014040.92</v>
      </c>
      <c r="H45" s="430">
        <f t="shared" si="16"/>
        <v>45104026</v>
      </c>
      <c r="I45" s="514">
        <f>G45-H45</f>
        <v>-41089985.079999998</v>
      </c>
      <c r="J45" s="552">
        <f>IF(I45=0,"",I45/H45)</f>
        <v>-0.91100481983581683</v>
      </c>
      <c r="K45" s="513">
        <f>SUM(K46:K57)</f>
        <v>270624156</v>
      </c>
    </row>
    <row r="46" spans="1:11" ht="12.75" customHeight="1" x14ac:dyDescent="0.25">
      <c r="A46" s="397" t="s">
        <v>1439</v>
      </c>
      <c r="B46" s="169"/>
      <c r="C46" s="783"/>
      <c r="D46" s="784"/>
      <c r="E46" s="737"/>
      <c r="F46" s="737"/>
      <c r="G46" s="737"/>
      <c r="H46" s="737">
        <f t="shared" ref="H46:H57" si="17">D46/12*2</f>
        <v>0</v>
      </c>
      <c r="I46" s="514">
        <f>G46-H46</f>
        <v>0</v>
      </c>
      <c r="J46" s="552" t="str">
        <f>IF(I46=0,"",I46/H46)</f>
        <v/>
      </c>
      <c r="K46" s="738"/>
    </row>
    <row r="47" spans="1:11" ht="12.75" customHeight="1" x14ac:dyDescent="0.25">
      <c r="A47" s="397" t="s">
        <v>1457</v>
      </c>
      <c r="B47" s="169"/>
      <c r="C47" s="786"/>
      <c r="D47" s="787"/>
      <c r="E47" s="788"/>
      <c r="F47" s="788"/>
      <c r="G47" s="788"/>
      <c r="H47" s="788">
        <f t="shared" si="17"/>
        <v>0</v>
      </c>
      <c r="I47" s="44"/>
      <c r="J47" s="124"/>
      <c r="K47" s="789"/>
    </row>
    <row r="48" spans="1:11" ht="12.75" customHeight="1" x14ac:dyDescent="0.25">
      <c r="A48" s="397" t="s">
        <v>771</v>
      </c>
      <c r="B48" s="169"/>
      <c r="C48" s="786"/>
      <c r="D48" s="787"/>
      <c r="E48" s="788"/>
      <c r="F48" s="788"/>
      <c r="G48" s="788"/>
      <c r="H48" s="788">
        <f t="shared" si="17"/>
        <v>0</v>
      </c>
      <c r="I48" s="44"/>
      <c r="J48" s="124"/>
      <c r="K48" s="789"/>
    </row>
    <row r="49" spans="1:11" ht="12.75" customHeight="1" x14ac:dyDescent="0.25">
      <c r="A49" s="397" t="s">
        <v>1458</v>
      </c>
      <c r="B49" s="169"/>
      <c r="C49" s="786"/>
      <c r="D49" s="787"/>
      <c r="E49" s="788"/>
      <c r="F49" s="788"/>
      <c r="G49" s="788"/>
      <c r="H49" s="788">
        <f t="shared" si="17"/>
        <v>0</v>
      </c>
      <c r="I49" s="44"/>
      <c r="J49" s="124"/>
      <c r="K49" s="789"/>
    </row>
    <row r="50" spans="1:11" ht="12.75" customHeight="1" x14ac:dyDescent="0.25">
      <c r="A50" s="397" t="s">
        <v>1444</v>
      </c>
      <c r="B50" s="169"/>
      <c r="C50" s="786"/>
      <c r="D50" s="787">
        <v>6124156</v>
      </c>
      <c r="E50" s="788"/>
      <c r="F50" s="788"/>
      <c r="G50" s="788"/>
      <c r="H50" s="788">
        <f t="shared" si="17"/>
        <v>1020692.6666666666</v>
      </c>
      <c r="I50" s="44"/>
      <c r="J50" s="124"/>
      <c r="K50" s="789">
        <f t="shared" ref="K50:K57" si="18">D50</f>
        <v>6124156</v>
      </c>
    </row>
    <row r="51" spans="1:11" ht="12.75" customHeight="1" x14ac:dyDescent="0.25">
      <c r="A51" s="397" t="s">
        <v>1459</v>
      </c>
      <c r="B51" s="169"/>
      <c r="C51" s="786"/>
      <c r="D51" s="787">
        <v>2500000</v>
      </c>
      <c r="E51" s="788"/>
      <c r="F51" s="788"/>
      <c r="G51" s="788"/>
      <c r="H51" s="788">
        <f t="shared" si="17"/>
        <v>416666.66666666669</v>
      </c>
      <c r="I51" s="44"/>
      <c r="J51" s="124"/>
      <c r="K51" s="789">
        <f t="shared" si="18"/>
        <v>2500000</v>
      </c>
    </row>
    <row r="52" spans="1:11" ht="12.75" customHeight="1" x14ac:dyDescent="0.25">
      <c r="A52" s="397" t="s">
        <v>1439</v>
      </c>
      <c r="B52" s="169"/>
      <c r="C52" s="786"/>
      <c r="D52" s="787">
        <v>774000</v>
      </c>
      <c r="E52" s="788"/>
      <c r="F52" s="788"/>
      <c r="G52" s="788"/>
      <c r="H52" s="788">
        <f t="shared" si="17"/>
        <v>129000</v>
      </c>
      <c r="I52" s="44"/>
      <c r="J52" s="124"/>
      <c r="K52" s="789">
        <f t="shared" si="18"/>
        <v>774000</v>
      </c>
    </row>
    <row r="53" spans="1:11" ht="12.75" customHeight="1" x14ac:dyDescent="0.25">
      <c r="A53" s="397" t="s">
        <v>1440</v>
      </c>
      <c r="B53" s="169"/>
      <c r="C53" s="786"/>
      <c r="D53" s="787"/>
      <c r="E53" s="788"/>
      <c r="F53" s="788"/>
      <c r="G53" s="788"/>
      <c r="H53" s="788">
        <f t="shared" si="17"/>
        <v>0</v>
      </c>
      <c r="I53" s="44"/>
      <c r="J53" s="124"/>
      <c r="K53" s="789"/>
    </row>
    <row r="54" spans="1:11" ht="12.75" customHeight="1" x14ac:dyDescent="0.25">
      <c r="A54" s="397" t="s">
        <v>1443</v>
      </c>
      <c r="B54" s="169"/>
      <c r="C54" s="786"/>
      <c r="D54" s="787">
        <v>244264000</v>
      </c>
      <c r="E54" s="788"/>
      <c r="F54" s="788"/>
      <c r="G54" s="788"/>
      <c r="H54" s="788">
        <f t="shared" si="17"/>
        <v>40710666.666666664</v>
      </c>
      <c r="I54" s="44"/>
      <c r="J54" s="124"/>
      <c r="K54" s="789">
        <f t="shared" si="18"/>
        <v>244264000</v>
      </c>
    </row>
    <row r="55" spans="1:11" ht="12.75" customHeight="1" x14ac:dyDescent="0.25">
      <c r="A55" s="397" t="s">
        <v>1445</v>
      </c>
      <c r="B55" s="169"/>
      <c r="C55" s="786"/>
      <c r="D55" s="787">
        <v>6750000</v>
      </c>
      <c r="E55" s="788"/>
      <c r="F55" s="788">
        <v>3975081.51</v>
      </c>
      <c r="G55" s="788">
        <v>4014040.92</v>
      </c>
      <c r="H55" s="788">
        <f t="shared" si="17"/>
        <v>1125000</v>
      </c>
      <c r="I55" s="44"/>
      <c r="J55" s="124"/>
      <c r="K55" s="789">
        <f t="shared" si="18"/>
        <v>6750000</v>
      </c>
    </row>
    <row r="56" spans="1:11" ht="12.75" customHeight="1" x14ac:dyDescent="0.25">
      <c r="A56" s="397" t="s">
        <v>623</v>
      </c>
      <c r="B56" s="169"/>
      <c r="C56" s="786"/>
      <c r="D56" s="787"/>
      <c r="E56" s="788"/>
      <c r="F56" s="788"/>
      <c r="G56" s="788"/>
      <c r="H56" s="788">
        <f t="shared" si="17"/>
        <v>0</v>
      </c>
      <c r="I56" s="44"/>
      <c r="J56" s="124"/>
      <c r="K56" s="789"/>
    </row>
    <row r="57" spans="1:11" ht="12.75" customHeight="1" x14ac:dyDescent="0.25">
      <c r="A57" s="396" t="s">
        <v>1446</v>
      </c>
      <c r="B57" s="169"/>
      <c r="C57" s="748"/>
      <c r="D57" s="745">
        <v>10212000</v>
      </c>
      <c r="E57" s="733"/>
      <c r="F57" s="733"/>
      <c r="G57" s="733"/>
      <c r="H57" s="733">
        <f t="shared" si="17"/>
        <v>1702000</v>
      </c>
      <c r="I57" s="44">
        <f>G57-H57</f>
        <v>-1702000</v>
      </c>
      <c r="J57" s="124">
        <f t="shared" ref="J57:J62" si="19">IF(I57=0,"",I57/H57)</f>
        <v>-1</v>
      </c>
      <c r="K57" s="735">
        <f t="shared" si="18"/>
        <v>10212000</v>
      </c>
    </row>
    <row r="58" spans="1:11" ht="12.75" customHeight="1" x14ac:dyDescent="0.25">
      <c r="A58" s="397" t="str">
        <f>'SC6'!A57</f>
        <v>District Municipality:</v>
      </c>
      <c r="B58" s="169"/>
      <c r="C58" s="516">
        <f t="shared" ref="C58:H58" si="20">SUM(C59:C59)</f>
        <v>0</v>
      </c>
      <c r="D58" s="475">
        <f t="shared" si="20"/>
        <v>0</v>
      </c>
      <c r="E58" s="430">
        <f t="shared" si="20"/>
        <v>0</v>
      </c>
      <c r="F58" s="430">
        <f t="shared" si="20"/>
        <v>0</v>
      </c>
      <c r="G58" s="430">
        <f t="shared" si="20"/>
        <v>0</v>
      </c>
      <c r="H58" s="430">
        <f t="shared" si="20"/>
        <v>0</v>
      </c>
      <c r="I58" s="514">
        <f>G58-H58</f>
        <v>0</v>
      </c>
      <c r="J58" s="552" t="str">
        <f t="shared" si="19"/>
        <v/>
      </c>
      <c r="K58" s="513">
        <f>SUM(K59:K59)</f>
        <v>0</v>
      </c>
    </row>
    <row r="59" spans="1:11" ht="12.75" customHeight="1" x14ac:dyDescent="0.25">
      <c r="A59" s="397"/>
      <c r="B59" s="169"/>
      <c r="C59" s="783"/>
      <c r="D59" s="784"/>
      <c r="E59" s="737"/>
      <c r="F59" s="737"/>
      <c r="G59" s="737"/>
      <c r="H59" s="737"/>
      <c r="I59" s="514">
        <f>G59-H59</f>
        <v>0</v>
      </c>
      <c r="J59" s="552" t="str">
        <f t="shared" si="19"/>
        <v/>
      </c>
      <c r="K59" s="738"/>
    </row>
    <row r="60" spans="1:11" ht="12.75" customHeight="1" x14ac:dyDescent="0.25">
      <c r="A60" s="397" t="str">
        <f>'SC6'!A59</f>
        <v>Other grant providers:</v>
      </c>
      <c r="B60" s="169"/>
      <c r="C60" s="516">
        <f t="shared" ref="C60:H60" si="21">SUM(C61:C61)</f>
        <v>0</v>
      </c>
      <c r="D60" s="475">
        <f t="shared" si="21"/>
        <v>0</v>
      </c>
      <c r="E60" s="430">
        <f t="shared" si="21"/>
        <v>0</v>
      </c>
      <c r="F60" s="430">
        <f t="shared" si="21"/>
        <v>0</v>
      </c>
      <c r="G60" s="430">
        <f t="shared" si="21"/>
        <v>0</v>
      </c>
      <c r="H60" s="430">
        <f t="shared" si="21"/>
        <v>0</v>
      </c>
      <c r="I60" s="514">
        <f>G60-H60</f>
        <v>0</v>
      </c>
      <c r="J60" s="552" t="str">
        <f t="shared" si="19"/>
        <v/>
      </c>
      <c r="K60" s="513">
        <f>SUM(K61:K61)</f>
        <v>0</v>
      </c>
    </row>
    <row r="61" spans="1:11" ht="12.75" customHeight="1" x14ac:dyDescent="0.25">
      <c r="A61" s="397"/>
      <c r="B61" s="169"/>
      <c r="C61" s="783"/>
      <c r="D61" s="784"/>
      <c r="E61" s="737"/>
      <c r="F61" s="737"/>
      <c r="G61" s="737"/>
      <c r="H61" s="737"/>
      <c r="I61" s="514">
        <f>G61-H61</f>
        <v>0</v>
      </c>
      <c r="J61" s="552" t="str">
        <f t="shared" si="19"/>
        <v/>
      </c>
      <c r="K61" s="738"/>
    </row>
    <row r="62" spans="1:11" ht="12.75" customHeight="1" x14ac:dyDescent="0.25">
      <c r="A62" s="557" t="s">
        <v>60</v>
      </c>
      <c r="B62" s="233"/>
      <c r="C62" s="243">
        <f t="shared" ref="C62:I62" si="22">C36+C45+C58+C60</f>
        <v>0</v>
      </c>
      <c r="D62" s="74">
        <f t="shared" si="22"/>
        <v>525891580.99999988</v>
      </c>
      <c r="E62" s="73">
        <f t="shared" si="22"/>
        <v>0</v>
      </c>
      <c r="F62" s="73">
        <f t="shared" si="22"/>
        <v>24240553.436999999</v>
      </c>
      <c r="G62" s="73">
        <f t="shared" si="22"/>
        <v>26247084.567000002</v>
      </c>
      <c r="H62" s="73">
        <f t="shared" si="22"/>
        <v>87648596.833333313</v>
      </c>
      <c r="I62" s="73">
        <f t="shared" si="22"/>
        <v>-61401512.266333304</v>
      </c>
      <c r="J62" s="304">
        <f t="shared" si="19"/>
        <v>-0.70054187385441313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3">C33+C62</f>
        <v>0</v>
      </c>
      <c r="D64" s="56">
        <f t="shared" si="23"/>
        <v>1201374821</v>
      </c>
      <c r="E64" s="55">
        <f t="shared" si="23"/>
        <v>0</v>
      </c>
      <c r="F64" s="55">
        <f t="shared" si="23"/>
        <v>34160180.07</v>
      </c>
      <c r="G64" s="55">
        <f t="shared" si="23"/>
        <v>35501399.68</v>
      </c>
      <c r="H64" s="55">
        <f t="shared" si="23"/>
        <v>200229136.83333331</v>
      </c>
      <c r="I64" s="55">
        <f t="shared" si="23"/>
        <v>-164727737.15333328</v>
      </c>
      <c r="J64" s="290">
        <f>IF(I64=0,"",I64/H64)</f>
        <v>-0.82269613582986834</v>
      </c>
      <c r="K64" s="235">
        <f>K33+K62</f>
        <v>1201374821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6" activePane="bottomRight" state="frozen"/>
      <selection pane="topRight"/>
      <selection pane="bottomLeft"/>
      <selection pane="bottomRight" activeCell="A43" sqref="A43"/>
    </sheetView>
  </sheetViews>
  <sheetFormatPr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3" t="str">
        <f>muni&amp; " - "&amp;S71T&amp; " - "&amp;Head57</f>
        <v>KZN225 Msunduzi - Supporting Table SC7(2) Monthly Budget Statement - Expenditure against approved rollovers - M02 August</v>
      </c>
      <c r="B1" s="1053"/>
      <c r="C1" s="1053"/>
      <c r="D1" s="1053"/>
      <c r="E1" s="1053"/>
      <c r="F1" s="1053"/>
      <c r="G1" s="1053"/>
    </row>
    <row r="2" spans="1:7" ht="21.75" customHeight="1" x14ac:dyDescent="0.25">
      <c r="A2" s="1042" t="str">
        <f>desc</f>
        <v>Description</v>
      </c>
      <c r="B2" s="1035" t="str">
        <f>head27</f>
        <v>Ref</v>
      </c>
      <c r="C2" s="1037" t="str">
        <f>Head2</f>
        <v>Budget Year 2020/21</v>
      </c>
      <c r="D2" s="1038"/>
      <c r="E2" s="1038"/>
      <c r="F2" s="1038"/>
      <c r="G2" s="1039"/>
    </row>
    <row r="3" spans="1:7" ht="39.75" customHeight="1" x14ac:dyDescent="0.25">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tabSelected="1" zoomScaleNormal="100" workbookViewId="0">
      <pane xSplit="2" ySplit="4" topLeftCell="C5" activePane="bottomRight" state="frozen"/>
      <selection pane="topRight"/>
      <selection pane="bottomLeft"/>
      <selection pane="bottomRight" activeCell="Q61" sqref="Q61"/>
    </sheetView>
  </sheetViews>
  <sheetFormatPr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"&amp;S71N&amp; " - "&amp;Head57</f>
        <v>KZN225 Msunduzi - Supporting Table SC8 Monthly Budget Statement - councillor and staff benefits  - M02 August</v>
      </c>
      <c r="B1" s="1053"/>
      <c r="C1" s="1053"/>
      <c r="D1" s="1053"/>
      <c r="E1" s="1053"/>
      <c r="F1" s="1053"/>
      <c r="G1" s="1053"/>
      <c r="H1" s="1053"/>
      <c r="I1" s="1053"/>
      <c r="J1" s="1053"/>
      <c r="K1" s="1053"/>
    </row>
    <row r="2" spans="1:11" x14ac:dyDescent="0.25">
      <c r="A2" s="1042" t="s">
        <v>650</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c r="F7" s="733">
        <v>2538317.91</v>
      </c>
      <c r="G7" s="733">
        <v>5079119.9800000004</v>
      </c>
      <c r="H7" s="733">
        <f>D7/12*2</f>
        <v>2632048.1491666655</v>
      </c>
      <c r="I7" s="44">
        <f t="shared" ref="I7:I14" si="0">G7-H7</f>
        <v>2447071.8308333349</v>
      </c>
      <c r="J7" s="330">
        <f t="shared" ref="J7:J14" si="1">IF(I7=0,"",I7/H7)</f>
        <v>0.92972152945154285</v>
      </c>
      <c r="K7" s="735">
        <f t="shared" ref="K7:K12" si="2">D7</f>
        <v>15792288.894999994</v>
      </c>
    </row>
    <row r="8" spans="1:11" ht="12.75" customHeight="1" x14ac:dyDescent="0.25">
      <c r="A8" s="518" t="s">
        <v>1048</v>
      </c>
      <c r="B8" s="169"/>
      <c r="C8" s="748"/>
      <c r="D8" s="745">
        <v>6273530.0123999976</v>
      </c>
      <c r="E8" s="733"/>
      <c r="F8" s="733">
        <v>331549.57999999996</v>
      </c>
      <c r="G8" s="733">
        <v>663471.7699999999</v>
      </c>
      <c r="H8" s="733">
        <f t="shared" ref="H8:H13" si="3">D8/12*2</f>
        <v>1045588.3353999996</v>
      </c>
      <c r="I8" s="44">
        <f t="shared" si="0"/>
        <v>-382116.56539999973</v>
      </c>
      <c r="J8" s="330">
        <f t="shared" si="1"/>
        <v>-0.36545603318519948</v>
      </c>
      <c r="K8" s="735">
        <f t="shared" si="2"/>
        <v>6273530.0123999976</v>
      </c>
    </row>
    <row r="9" spans="1:11" ht="12.75" customHeight="1" x14ac:dyDescent="0.25">
      <c r="A9" s="518" t="s">
        <v>427</v>
      </c>
      <c r="B9" s="169"/>
      <c r="C9" s="748"/>
      <c r="D9" s="745">
        <v>10528192.964839995</v>
      </c>
      <c r="E9" s="733"/>
      <c r="F9" s="733">
        <v>159484.48000000001</v>
      </c>
      <c r="G9" s="733">
        <v>318030.24</v>
      </c>
      <c r="H9" s="733">
        <f t="shared" si="3"/>
        <v>1754698.8274733324</v>
      </c>
      <c r="I9" s="44">
        <f t="shared" si="0"/>
        <v>-1436668.5874733324</v>
      </c>
      <c r="J9" s="330">
        <f t="shared" si="1"/>
        <v>-0.81875508490653881</v>
      </c>
      <c r="K9" s="735">
        <f t="shared" si="2"/>
        <v>10528192.964839995</v>
      </c>
    </row>
    <row r="10" spans="1:11" ht="12.75" customHeight="1" x14ac:dyDescent="0.25">
      <c r="A10" s="518" t="s">
        <v>1049</v>
      </c>
      <c r="B10" s="169"/>
      <c r="C10" s="748"/>
      <c r="D10" s="745">
        <v>10528194.069359997</v>
      </c>
      <c r="E10" s="733"/>
      <c r="F10" s="733">
        <v>464748.38999999996</v>
      </c>
      <c r="G10" s="733">
        <v>929496.77999999991</v>
      </c>
      <c r="H10" s="733">
        <f t="shared" si="3"/>
        <v>1754699.0115599995</v>
      </c>
      <c r="I10" s="44">
        <f>G10-H10</f>
        <v>-825202.23155999964</v>
      </c>
      <c r="J10" s="330">
        <f>IF(I10=0,"",I10/H10)</f>
        <v>-0.47028135658796599</v>
      </c>
      <c r="K10" s="735">
        <f t="shared" si="2"/>
        <v>10528194.069359997</v>
      </c>
    </row>
    <row r="11" spans="1:11" ht="12.75" customHeight="1" x14ac:dyDescent="0.25">
      <c r="A11" s="39" t="s">
        <v>1050</v>
      </c>
      <c r="B11" s="169"/>
      <c r="C11" s="748"/>
      <c r="D11" s="745">
        <v>5264098.1391999982</v>
      </c>
      <c r="E11" s="733"/>
      <c r="F11" s="733">
        <v>170200</v>
      </c>
      <c r="G11" s="733">
        <v>340400</v>
      </c>
      <c r="H11" s="733">
        <f t="shared" si="3"/>
        <v>877349.68986666633</v>
      </c>
      <c r="I11" s="44">
        <f>G11-H11</f>
        <v>-536949.68986666633</v>
      </c>
      <c r="J11" s="330">
        <f>IF(I11=0,"",I11/H11)</f>
        <v>-0.61201331244360313</v>
      </c>
      <c r="K11" s="735">
        <f t="shared" si="2"/>
        <v>5264098.1391999982</v>
      </c>
    </row>
    <row r="12" spans="1:11" ht="12.75" customHeight="1" x14ac:dyDescent="0.25">
      <c r="A12" s="39" t="s">
        <v>1051</v>
      </c>
      <c r="B12" s="169"/>
      <c r="C12" s="748"/>
      <c r="D12" s="745">
        <v>5264097.0346799986</v>
      </c>
      <c r="E12" s="733"/>
      <c r="F12" s="733">
        <v>11074.34</v>
      </c>
      <c r="G12" s="733">
        <v>22148.68</v>
      </c>
      <c r="H12" s="733">
        <f t="shared" si="3"/>
        <v>877349.50577999977</v>
      </c>
      <c r="I12" s="44">
        <f>G12-H12</f>
        <v>-855200.82577999972</v>
      </c>
      <c r="J12" s="330">
        <f>IF(I12=0,"",I12/H12)</f>
        <v>-0.97475500943001159</v>
      </c>
      <c r="K12" s="735">
        <f t="shared" si="2"/>
        <v>5264097.0346799986</v>
      </c>
    </row>
    <row r="13" spans="1:11" ht="12.75" customHeight="1" x14ac:dyDescent="0.25">
      <c r="A13" s="39" t="s">
        <v>1052</v>
      </c>
      <c r="B13" s="169"/>
      <c r="C13" s="748"/>
      <c r="D13" s="745"/>
      <c r="E13" s="733"/>
      <c r="F13" s="733">
        <v>7336.37</v>
      </c>
      <c r="G13" s="733">
        <v>14672.74</v>
      </c>
      <c r="H13" s="733">
        <f t="shared" si="3"/>
        <v>0</v>
      </c>
      <c r="I13" s="44">
        <f t="shared" si="0"/>
        <v>14672.74</v>
      </c>
      <c r="J13" s="330" t="e">
        <f t="shared" si="1"/>
        <v>#DIV/0!</v>
      </c>
      <c r="K13" s="735"/>
    </row>
    <row r="14" spans="1:11" ht="12.75" customHeight="1" x14ac:dyDescent="0.25">
      <c r="A14" s="87" t="s">
        <v>428</v>
      </c>
      <c r="B14" s="169"/>
      <c r="C14" s="516">
        <f t="shared" ref="C14:K14" si="4">SUM(C7:C13)</f>
        <v>0</v>
      </c>
      <c r="D14" s="475">
        <f t="shared" si="4"/>
        <v>53650401.115479983</v>
      </c>
      <c r="E14" s="430">
        <f t="shared" si="4"/>
        <v>0</v>
      </c>
      <c r="F14" s="430">
        <f t="shared" si="4"/>
        <v>3682711.0700000003</v>
      </c>
      <c r="G14" s="430">
        <f t="shared" si="4"/>
        <v>7367340.1900000004</v>
      </c>
      <c r="H14" s="430">
        <f t="shared" si="4"/>
        <v>8941733.5192466639</v>
      </c>
      <c r="I14" s="430">
        <f t="shared" si="0"/>
        <v>-1574393.3292466635</v>
      </c>
      <c r="J14" s="431">
        <f t="shared" si="1"/>
        <v>-0.17607249487561391</v>
      </c>
      <c r="K14" s="513">
        <f t="shared" si="4"/>
        <v>53650401.115479983</v>
      </c>
    </row>
    <row r="15" spans="1:11" ht="12.75" customHeight="1" x14ac:dyDescent="0.25">
      <c r="A15" s="565" t="s">
        <v>722</v>
      </c>
      <c r="B15" s="169">
        <v>4</v>
      </c>
      <c r="C15" s="173"/>
      <c r="D15" s="303" t="e">
        <f>IF(D14=0,"",(D14/C14)-1)</f>
        <v>#DIV/0!</v>
      </c>
      <c r="E15" s="303" t="str">
        <f>IF(E14=0,"",(E14/C14)-1)</f>
        <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c r="F18" s="733">
        <v>610505.75999999989</v>
      </c>
      <c r="G18" s="733">
        <v>1221011.5199999998</v>
      </c>
      <c r="H18" s="733">
        <f t="shared" ref="H18:H29" si="5">D18/12*2</f>
        <v>1773398.2968000004</v>
      </c>
      <c r="I18" s="44">
        <f t="shared" ref="I18:I30" si="6">G18-H18</f>
        <v>-552386.77680000057</v>
      </c>
      <c r="J18" s="330">
        <f t="shared" ref="J18:J29" si="7">IF(I18=0,"",I18/H18)</f>
        <v>-0.31148489191444029</v>
      </c>
      <c r="K18" s="735">
        <f>D18</f>
        <v>10640389.780800002</v>
      </c>
    </row>
    <row r="19" spans="1:11" ht="12.75" customHeight="1" x14ac:dyDescent="0.25">
      <c r="A19" s="39" t="s">
        <v>1048</v>
      </c>
      <c r="B19" s="169"/>
      <c r="C19" s="748"/>
      <c r="D19" s="745">
        <v>1458021.1247999999</v>
      </c>
      <c r="E19" s="733"/>
      <c r="F19" s="733">
        <v>68706.34</v>
      </c>
      <c r="G19" s="733">
        <v>137412.68</v>
      </c>
      <c r="H19" s="733">
        <f t="shared" si="5"/>
        <v>243003.52079999997</v>
      </c>
      <c r="I19" s="44">
        <f t="shared" si="6"/>
        <v>-105590.84079999998</v>
      </c>
      <c r="J19" s="330">
        <f t="shared" si="7"/>
        <v>-0.43452391328479872</v>
      </c>
      <c r="K19" s="735">
        <f>D19</f>
        <v>1458021.1247999999</v>
      </c>
    </row>
    <row r="20" spans="1:11" ht="12.75" customHeight="1" x14ac:dyDescent="0.25">
      <c r="A20" s="39" t="s">
        <v>427</v>
      </c>
      <c r="B20" s="169"/>
      <c r="C20" s="748"/>
      <c r="D20" s="745">
        <v>160334.42939999999</v>
      </c>
      <c r="E20" s="733"/>
      <c r="F20" s="733">
        <v>7659.12</v>
      </c>
      <c r="G20" s="733">
        <v>15318.24</v>
      </c>
      <c r="H20" s="733">
        <f t="shared" si="5"/>
        <v>26722.404899999998</v>
      </c>
      <c r="I20" s="44">
        <f t="shared" si="6"/>
        <v>-11404.164899999998</v>
      </c>
      <c r="J20" s="330">
        <f t="shared" si="7"/>
        <v>-0.42676416822050317</v>
      </c>
      <c r="K20" s="735">
        <f>D20</f>
        <v>160334.42939999999</v>
      </c>
    </row>
    <row r="21" spans="1:11" ht="12.75" customHeight="1" x14ac:dyDescent="0.25">
      <c r="A21" s="39" t="s">
        <v>539</v>
      </c>
      <c r="B21" s="169"/>
      <c r="C21" s="748"/>
      <c r="D21" s="745">
        <v>0</v>
      </c>
      <c r="E21" s="733"/>
      <c r="F21" s="733"/>
      <c r="G21" s="733"/>
      <c r="H21" s="733">
        <f t="shared" si="5"/>
        <v>0</v>
      </c>
      <c r="I21" s="44">
        <f t="shared" si="6"/>
        <v>0</v>
      </c>
      <c r="J21" s="330" t="str">
        <f t="shared" si="7"/>
        <v/>
      </c>
      <c r="K21" s="735">
        <v>0</v>
      </c>
    </row>
    <row r="22" spans="1:11" ht="12.75" customHeight="1" x14ac:dyDescent="0.25">
      <c r="A22" s="39" t="s">
        <v>429</v>
      </c>
      <c r="B22" s="169"/>
      <c r="C22" s="748"/>
      <c r="D22" s="745">
        <v>665728.85879999993</v>
      </c>
      <c r="E22" s="733"/>
      <c r="F22" s="733"/>
      <c r="G22" s="733"/>
      <c r="H22" s="733">
        <f t="shared" si="5"/>
        <v>110954.80979999999</v>
      </c>
      <c r="I22" s="44">
        <f>G22-H22</f>
        <v>-110954.80979999999</v>
      </c>
      <c r="J22" s="330">
        <f>IF(I22=0,"",I22/H22)</f>
        <v>-1</v>
      </c>
      <c r="K22" s="735">
        <f>D22</f>
        <v>665728.85879999993</v>
      </c>
    </row>
    <row r="23" spans="1:11" ht="12.75" customHeight="1" x14ac:dyDescent="0.25">
      <c r="A23" s="39" t="s">
        <v>1049</v>
      </c>
      <c r="B23" s="169"/>
      <c r="C23" s="748"/>
      <c r="D23" s="745">
        <v>1278372.5370000002</v>
      </c>
      <c r="E23" s="733"/>
      <c r="F23" s="733">
        <v>62860.86</v>
      </c>
      <c r="G23" s="733">
        <v>125721.72</v>
      </c>
      <c r="H23" s="733">
        <f t="shared" si="5"/>
        <v>213062.08950000003</v>
      </c>
      <c r="I23" s="44">
        <f>G23-H23</f>
        <v>-87340.36950000003</v>
      </c>
      <c r="J23" s="330">
        <f>IF(I23=0,"",I23/H23)</f>
        <v>-0.40992918874007389</v>
      </c>
      <c r="K23" s="735">
        <f>D23</f>
        <v>1278372.5370000002</v>
      </c>
    </row>
    <row r="24" spans="1:11" ht="12.75" customHeight="1" x14ac:dyDescent="0.25">
      <c r="A24" s="39" t="s">
        <v>1050</v>
      </c>
      <c r="B24" s="169"/>
      <c r="C24" s="748"/>
      <c r="D24" s="745">
        <v>111150.72719999999</v>
      </c>
      <c r="E24" s="733"/>
      <c r="F24" s="733">
        <v>6950</v>
      </c>
      <c r="G24" s="733">
        <v>13900</v>
      </c>
      <c r="H24" s="733">
        <f t="shared" si="5"/>
        <v>18525.121199999998</v>
      </c>
      <c r="I24" s="44">
        <f>G24-H24</f>
        <v>-4625.1211999999978</v>
      </c>
      <c r="J24" s="330">
        <f>IF(I24=0,"",I24/H24)</f>
        <v>-0.24966752714146875</v>
      </c>
      <c r="K24" s="735">
        <f>D24</f>
        <v>111150.72719999999</v>
      </c>
    </row>
    <row r="25" spans="1:11" ht="12.75" customHeight="1" x14ac:dyDescent="0.25">
      <c r="A25" s="39" t="s">
        <v>1051</v>
      </c>
      <c r="B25" s="169"/>
      <c r="C25" s="748"/>
      <c r="D25" s="745">
        <v>756254.19959999993</v>
      </c>
      <c r="E25" s="733"/>
      <c r="F25" s="733">
        <v>1929.02</v>
      </c>
      <c r="G25" s="733">
        <v>3858.04</v>
      </c>
      <c r="H25" s="733">
        <f t="shared" si="5"/>
        <v>126042.36659999999</v>
      </c>
      <c r="I25" s="44">
        <f>G25-H25</f>
        <v>-122184.3266</v>
      </c>
      <c r="J25" s="330">
        <f>IF(I25=0,"",I25/H25)</f>
        <v>-0.96939092700279406</v>
      </c>
      <c r="K25" s="735">
        <f>D25</f>
        <v>756254.19959999993</v>
      </c>
    </row>
    <row r="26" spans="1:11" ht="12.75" customHeight="1" x14ac:dyDescent="0.25">
      <c r="A26" s="39" t="s">
        <v>1052</v>
      </c>
      <c r="B26" s="169"/>
      <c r="C26" s="748"/>
      <c r="D26" s="745"/>
      <c r="E26" s="733"/>
      <c r="F26" s="733"/>
      <c r="G26" s="733"/>
      <c r="H26" s="733">
        <f t="shared" si="5"/>
        <v>0</v>
      </c>
      <c r="I26" s="44">
        <f t="shared" si="6"/>
        <v>0</v>
      </c>
      <c r="J26" s="330" t="str">
        <f t="shared" si="7"/>
        <v/>
      </c>
      <c r="K26" s="735"/>
    </row>
    <row r="27" spans="1:11" ht="12.75" customHeight="1" x14ac:dyDescent="0.25">
      <c r="A27" s="39" t="s">
        <v>1053</v>
      </c>
      <c r="B27" s="169"/>
      <c r="C27" s="748"/>
      <c r="D27" s="745"/>
      <c r="E27" s="733"/>
      <c r="F27" s="733"/>
      <c r="G27" s="733"/>
      <c r="H27" s="733">
        <f t="shared" si="5"/>
        <v>0</v>
      </c>
      <c r="I27" s="44">
        <f t="shared" si="6"/>
        <v>0</v>
      </c>
      <c r="J27" s="330" t="str">
        <f t="shared" si="7"/>
        <v/>
      </c>
      <c r="K27" s="735"/>
    </row>
    <row r="28" spans="1:11" ht="12.75" customHeight="1" x14ac:dyDescent="0.25">
      <c r="A28" s="39" t="s">
        <v>1054</v>
      </c>
      <c r="B28" s="169"/>
      <c r="C28" s="748"/>
      <c r="D28" s="745"/>
      <c r="E28" s="733"/>
      <c r="F28" s="733"/>
      <c r="G28" s="733"/>
      <c r="H28" s="733">
        <f t="shared" si="5"/>
        <v>0</v>
      </c>
      <c r="I28" s="44">
        <f t="shared" si="6"/>
        <v>0</v>
      </c>
      <c r="J28" s="330" t="str">
        <f t="shared" si="7"/>
        <v/>
      </c>
      <c r="K28" s="735"/>
    </row>
    <row r="29" spans="1:11" ht="12.75" customHeight="1" x14ac:dyDescent="0.25">
      <c r="A29" s="39" t="s">
        <v>1055</v>
      </c>
      <c r="B29" s="169">
        <v>2</v>
      </c>
      <c r="C29" s="748"/>
      <c r="D29" s="745"/>
      <c r="E29" s="733"/>
      <c r="F29" s="733"/>
      <c r="G29" s="733"/>
      <c r="H29" s="733">
        <f t="shared" si="5"/>
        <v>0</v>
      </c>
      <c r="I29" s="44">
        <f t="shared" si="6"/>
        <v>0</v>
      </c>
      <c r="J29" s="330" t="str">
        <f t="shared" si="7"/>
        <v/>
      </c>
      <c r="K29" s="735"/>
    </row>
    <row r="30" spans="1:11" ht="12.75" customHeight="1" x14ac:dyDescent="0.25">
      <c r="A30" s="87" t="s">
        <v>430</v>
      </c>
      <c r="B30" s="169"/>
      <c r="C30" s="516">
        <f t="shared" ref="C30:K30" si="8">SUM(C18:C29)</f>
        <v>0</v>
      </c>
      <c r="D30" s="475">
        <f t="shared" si="8"/>
        <v>15070251.657600002</v>
      </c>
      <c r="E30" s="430">
        <f t="shared" si="8"/>
        <v>0</v>
      </c>
      <c r="F30" s="430">
        <f>SUM(F18:F29)</f>
        <v>758611.09999999986</v>
      </c>
      <c r="G30" s="430">
        <f>SUM(G18:G29)</f>
        <v>1517222.1999999997</v>
      </c>
      <c r="H30" s="430">
        <f>SUM(H18:H29)</f>
        <v>2511708.6096000005</v>
      </c>
      <c r="I30" s="430">
        <f t="shared" si="6"/>
        <v>-994486.40960000083</v>
      </c>
      <c r="J30" s="431">
        <f>IF(I30=0,"",I30/H30)</f>
        <v>-0.39594020014860587</v>
      </c>
      <c r="K30" s="513">
        <f t="shared" si="8"/>
        <v>15070251.657600002</v>
      </c>
    </row>
    <row r="31" spans="1:11" ht="12.75" customHeight="1" x14ac:dyDescent="0.25">
      <c r="A31" s="565" t="s">
        <v>722</v>
      </c>
      <c r="B31" s="169">
        <v>4</v>
      </c>
      <c r="C31" s="173"/>
      <c r="D31" s="303" t="e">
        <f>IF(D30=0,"",(D30/C30)-1)</f>
        <v>#DIV/0!</v>
      </c>
      <c r="E31" s="303" t="str">
        <f>IF(E30=0,"",(E30/C30)-1)</f>
        <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c r="F34" s="733">
        <v>68356170.270000026</v>
      </c>
      <c r="G34" s="733">
        <v>134266903.97999999</v>
      </c>
      <c r="H34" s="733">
        <f t="shared" ref="H34:H45" si="9">D34/12*2</f>
        <v>150739382.63996762</v>
      </c>
      <c r="I34" s="44">
        <f t="shared" ref="I34:I46" si="10">G34-H34</f>
        <v>-16472478.659967631</v>
      </c>
      <c r="J34" s="330">
        <f t="shared" ref="J34:J45" si="11">IF(I34=0,"",I34/H34)</f>
        <v>-0.10927786999971469</v>
      </c>
      <c r="K34" s="735">
        <f t="shared" ref="K34:K42" si="12">D34</f>
        <v>904436295.83980572</v>
      </c>
    </row>
    <row r="35" spans="1:11" ht="12.75" customHeight="1" x14ac:dyDescent="0.25">
      <c r="A35" s="518" t="s">
        <v>1048</v>
      </c>
      <c r="B35" s="169"/>
      <c r="C35" s="748"/>
      <c r="D35" s="745">
        <v>188647083.87682125</v>
      </c>
      <c r="E35" s="733"/>
      <c r="F35" s="733">
        <v>14180268.130000012</v>
      </c>
      <c r="G35" s="733">
        <v>28215005.750000011</v>
      </c>
      <c r="H35" s="733">
        <f t="shared" si="9"/>
        <v>31441180.646136876</v>
      </c>
      <c r="I35" s="44">
        <f t="shared" si="10"/>
        <v>-3226174.896136865</v>
      </c>
      <c r="J35" s="330">
        <f t="shared" si="11"/>
        <v>-0.10260985210595963</v>
      </c>
      <c r="K35" s="735">
        <f t="shared" si="12"/>
        <v>188647083.87682125</v>
      </c>
    </row>
    <row r="36" spans="1:11" ht="12.75" customHeight="1" x14ac:dyDescent="0.25">
      <c r="A36" s="518" t="s">
        <v>427</v>
      </c>
      <c r="B36" s="169"/>
      <c r="C36" s="748"/>
      <c r="D36" s="745">
        <v>70300830.27188544</v>
      </c>
      <c r="E36" s="733"/>
      <c r="F36" s="733">
        <v>5223900.3299999991</v>
      </c>
      <c r="G36" s="733">
        <v>10427559.900000002</v>
      </c>
      <c r="H36" s="733">
        <f t="shared" si="9"/>
        <v>11716805.045314239</v>
      </c>
      <c r="I36" s="44">
        <f t="shared" si="10"/>
        <v>-1289245.1453142371</v>
      </c>
      <c r="J36" s="330">
        <f t="shared" si="11"/>
        <v>-0.11003384799253184</v>
      </c>
      <c r="K36" s="735">
        <f t="shared" si="12"/>
        <v>70300830.27188544</v>
      </c>
    </row>
    <row r="37" spans="1:11" ht="12.75" customHeight="1" x14ac:dyDescent="0.25">
      <c r="A37" s="518" t="s">
        <v>539</v>
      </c>
      <c r="B37" s="169"/>
      <c r="C37" s="748"/>
      <c r="D37" s="745">
        <v>73644368.523901194</v>
      </c>
      <c r="E37" s="733"/>
      <c r="F37" s="733">
        <v>9148777.7699999996</v>
      </c>
      <c r="G37" s="733">
        <v>16656389.540000003</v>
      </c>
      <c r="H37" s="733">
        <f t="shared" si="9"/>
        <v>12274061.420650199</v>
      </c>
      <c r="I37" s="44">
        <f t="shared" si="10"/>
        <v>4382328.1193498038</v>
      </c>
      <c r="J37" s="330">
        <f t="shared" si="11"/>
        <v>0.35703977429808698</v>
      </c>
      <c r="K37" s="735">
        <f t="shared" si="12"/>
        <v>73644368.523901194</v>
      </c>
    </row>
    <row r="38" spans="1:11" ht="12.75" customHeight="1" x14ac:dyDescent="0.25">
      <c r="A38" s="518" t="s">
        <v>429</v>
      </c>
      <c r="B38" s="169"/>
      <c r="C38" s="748"/>
      <c r="D38" s="745">
        <v>70366153.174669325</v>
      </c>
      <c r="E38" s="733"/>
      <c r="F38" s="733">
        <v>190987.39</v>
      </c>
      <c r="G38" s="733">
        <v>231892.05</v>
      </c>
      <c r="H38" s="733">
        <f t="shared" si="9"/>
        <v>11727692.195778221</v>
      </c>
      <c r="I38" s="44">
        <f t="shared" si="10"/>
        <v>-11495800.14577822</v>
      </c>
      <c r="J38" s="330">
        <f t="shared" si="11"/>
        <v>-0.98022696655668728</v>
      </c>
      <c r="K38" s="735">
        <f t="shared" si="12"/>
        <v>70366153.174669325</v>
      </c>
    </row>
    <row r="39" spans="1:11" ht="12.75" customHeight="1" x14ac:dyDescent="0.25">
      <c r="A39" s="518" t="s">
        <v>1049</v>
      </c>
      <c r="B39" s="169"/>
      <c r="C39" s="748"/>
      <c r="D39" s="745">
        <v>24659111.788440011</v>
      </c>
      <c r="E39" s="733"/>
      <c r="F39" s="733">
        <v>2349623.810000001</v>
      </c>
      <c r="G39" s="733">
        <v>4589564.330000001</v>
      </c>
      <c r="H39" s="733">
        <f t="shared" si="9"/>
        <v>4109851.9647400021</v>
      </c>
      <c r="I39" s="44">
        <f>G39-H39</f>
        <v>479712.36525999894</v>
      </c>
      <c r="J39" s="330">
        <f>IF(I39=0,"",I39/H39)</f>
        <v>0.11672254119506871</v>
      </c>
      <c r="K39" s="735">
        <f t="shared" si="12"/>
        <v>24659111.788440011</v>
      </c>
    </row>
    <row r="40" spans="1:11" ht="12.75" customHeight="1" x14ac:dyDescent="0.25">
      <c r="A40" s="518" t="s">
        <v>1050</v>
      </c>
      <c r="B40" s="169"/>
      <c r="C40" s="748"/>
      <c r="D40" s="745">
        <v>4232876.804076002</v>
      </c>
      <c r="E40" s="733"/>
      <c r="F40" s="733">
        <v>335019.69</v>
      </c>
      <c r="G40" s="733">
        <v>658189.30000000005</v>
      </c>
      <c r="H40" s="733">
        <f t="shared" si="9"/>
        <v>705479.46734600037</v>
      </c>
      <c r="I40" s="44">
        <f>G40-H40</f>
        <v>-47290.167346000322</v>
      </c>
      <c r="J40" s="330">
        <f>IF(I40=0,"",I40/H40)</f>
        <v>-6.703266294043253E-2</v>
      </c>
      <c r="K40" s="735">
        <f t="shared" si="12"/>
        <v>4232876.804076002</v>
      </c>
    </row>
    <row r="41" spans="1:11" ht="12.75" customHeight="1" x14ac:dyDescent="0.25">
      <c r="A41" s="518" t="s">
        <v>1051</v>
      </c>
      <c r="B41" s="169"/>
      <c r="C41" s="748"/>
      <c r="D41" s="745">
        <v>7812877.275000005</v>
      </c>
      <c r="E41" s="733"/>
      <c r="F41" s="733">
        <v>359989.19000000012</v>
      </c>
      <c r="G41" s="733">
        <v>727978.09000000043</v>
      </c>
      <c r="H41" s="733">
        <f t="shared" si="9"/>
        <v>1302146.2125000008</v>
      </c>
      <c r="I41" s="44">
        <f>G41-H41</f>
        <v>-574168.12250000041</v>
      </c>
      <c r="J41" s="330">
        <f>IF(I41=0,"",I41/H41)</f>
        <v>-0.44093982456674391</v>
      </c>
      <c r="K41" s="735">
        <f t="shared" si="12"/>
        <v>7812877.275000005</v>
      </c>
    </row>
    <row r="42" spans="1:11" ht="12.75" customHeight="1" x14ac:dyDescent="0.25">
      <c r="A42" s="518" t="s">
        <v>1052</v>
      </c>
      <c r="B42" s="169"/>
      <c r="C42" s="748"/>
      <c r="D42" s="745">
        <v>46854856.603799991</v>
      </c>
      <c r="E42" s="733"/>
      <c r="F42" s="733">
        <v>6027226.7200000007</v>
      </c>
      <c r="G42" s="733">
        <v>12308453.280000003</v>
      </c>
      <c r="H42" s="733">
        <f t="shared" si="9"/>
        <v>7809142.7672999986</v>
      </c>
      <c r="I42" s="44">
        <f t="shared" si="10"/>
        <v>4499310.5127000045</v>
      </c>
      <c r="J42" s="330">
        <f t="shared" si="11"/>
        <v>0.57615933614895809</v>
      </c>
      <c r="K42" s="735">
        <f t="shared" si="12"/>
        <v>46854856.603799991</v>
      </c>
    </row>
    <row r="43" spans="1:11" ht="12.75" customHeight="1" x14ac:dyDescent="0.25">
      <c r="A43" s="518" t="s">
        <v>1053</v>
      </c>
      <c r="B43" s="169"/>
      <c r="C43" s="748"/>
      <c r="D43" s="745"/>
      <c r="E43" s="733"/>
      <c r="F43" s="733"/>
      <c r="G43" s="733"/>
      <c r="H43" s="733">
        <f t="shared" si="9"/>
        <v>0</v>
      </c>
      <c r="I43" s="44">
        <f t="shared" si="10"/>
        <v>0</v>
      </c>
      <c r="J43" s="330" t="str">
        <f t="shared" si="11"/>
        <v/>
      </c>
      <c r="K43" s="735"/>
    </row>
    <row r="44" spans="1:11" ht="12.75" customHeight="1" x14ac:dyDescent="0.25">
      <c r="A44" s="518" t="s">
        <v>1054</v>
      </c>
      <c r="B44" s="169"/>
      <c r="C44" s="748"/>
      <c r="D44" s="745">
        <v>24172767.795784086</v>
      </c>
      <c r="E44" s="733"/>
      <c r="F44" s="733">
        <v>2534805.4</v>
      </c>
      <c r="G44" s="733">
        <v>4069684.3800000004</v>
      </c>
      <c r="H44" s="733">
        <f t="shared" si="9"/>
        <v>4028794.6326306812</v>
      </c>
      <c r="I44" s="44">
        <f t="shared" si="10"/>
        <v>40889.747369319201</v>
      </c>
      <c r="J44" s="330">
        <f t="shared" si="11"/>
        <v>1.0149374961468173E-2</v>
      </c>
      <c r="K44" s="735">
        <f>D44</f>
        <v>24172767.795784086</v>
      </c>
    </row>
    <row r="45" spans="1:11" ht="12.75" customHeight="1" x14ac:dyDescent="0.25">
      <c r="A45" s="518" t="s">
        <v>1055</v>
      </c>
      <c r="B45" s="169">
        <v>2</v>
      </c>
      <c r="C45" s="748"/>
      <c r="D45" s="745"/>
      <c r="E45" s="733"/>
      <c r="F45" s="733"/>
      <c r="G45" s="733"/>
      <c r="H45" s="733">
        <f t="shared" si="9"/>
        <v>0</v>
      </c>
      <c r="I45" s="44">
        <f t="shared" si="10"/>
        <v>0</v>
      </c>
      <c r="J45" s="330" t="str">
        <f t="shared" si="11"/>
        <v/>
      </c>
      <c r="K45" s="735"/>
    </row>
    <row r="46" spans="1:11" ht="12.75" customHeight="1" x14ac:dyDescent="0.25">
      <c r="A46" s="87" t="s">
        <v>432</v>
      </c>
      <c r="B46" s="169"/>
      <c r="C46" s="516">
        <f t="shared" ref="C46:K46" si="13">SUM(C34:C45)</f>
        <v>0</v>
      </c>
      <c r="D46" s="475">
        <f t="shared" si="13"/>
        <v>1415127221.9541829</v>
      </c>
      <c r="E46" s="430">
        <f t="shared" si="13"/>
        <v>0</v>
      </c>
      <c r="F46" s="430">
        <f>SUM(F34:F45)</f>
        <v>108706768.70000003</v>
      </c>
      <c r="G46" s="430">
        <f>SUM(G34:G45)</f>
        <v>212151620.60000002</v>
      </c>
      <c r="H46" s="430">
        <f>SUM(H34:H45)</f>
        <v>235854536.99236387</v>
      </c>
      <c r="I46" s="430">
        <f t="shared" si="10"/>
        <v>-23702916.392363846</v>
      </c>
      <c r="J46" s="431">
        <f>IF(I46=0,"",I46/H46)</f>
        <v>-0.10049803024620749</v>
      </c>
      <c r="K46" s="513">
        <f t="shared" si="13"/>
        <v>1415127221.9541829</v>
      </c>
    </row>
    <row r="47" spans="1:11" ht="12.75" customHeight="1" x14ac:dyDescent="0.25">
      <c r="A47" s="565" t="s">
        <v>722</v>
      </c>
      <c r="B47" s="169">
        <v>4</v>
      </c>
      <c r="C47" s="399"/>
      <c r="D47" s="303" t="e">
        <f>IF(D46=0,"",(D46/C46)-1)</f>
        <v>#DIV/0!</v>
      </c>
      <c r="E47" s="303" t="str">
        <f>IF(E46=0,"",(E46/C46)-1)</f>
        <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4">D14+D30+D46</f>
        <v>1483847874.727263</v>
      </c>
      <c r="E49" s="73">
        <f t="shared" si="14"/>
        <v>0</v>
      </c>
      <c r="F49" s="73">
        <f t="shared" si="14"/>
        <v>113148090.87000003</v>
      </c>
      <c r="G49" s="73">
        <f t="shared" si="14"/>
        <v>221036182.99000001</v>
      </c>
      <c r="H49" s="73">
        <f t="shared" si="14"/>
        <v>247307979.12121055</v>
      </c>
      <c r="I49" s="73">
        <f>G49-H49</f>
        <v>-26271796.131210536</v>
      </c>
      <c r="J49" s="331">
        <f>IF(I49=0,"",I49/H49)</f>
        <v>-0.10623108977140688</v>
      </c>
      <c r="K49" s="145">
        <f t="shared" si="14"/>
        <v>1483847874.727263</v>
      </c>
    </row>
    <row r="50" spans="1:11" ht="5.0999999999999996" customHeight="1" x14ac:dyDescent="0.25">
      <c r="A50" s="42"/>
      <c r="B50" s="169"/>
      <c r="C50" s="173"/>
      <c r="D50" s="303" t="e">
        <f>IF(D49=0,"",(D49/C49)-1)</f>
        <v>#DIV/0!</v>
      </c>
      <c r="E50" s="303" t="str">
        <f>IF(E49=0,"",(E49/C49)-1)</f>
        <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5">G54-H54</f>
        <v>0</v>
      </c>
      <c r="J54" s="330" t="str">
        <f t="shared" ref="J54:J66" si="16">IF(I54=0,"",I54/H54)</f>
        <v/>
      </c>
      <c r="K54" s="735"/>
    </row>
    <row r="55" spans="1:11" ht="12.75" customHeight="1" x14ac:dyDescent="0.25">
      <c r="A55" s="39" t="s">
        <v>1048</v>
      </c>
      <c r="B55" s="169"/>
      <c r="C55" s="748"/>
      <c r="D55" s="745"/>
      <c r="E55" s="733"/>
      <c r="F55" s="733"/>
      <c r="G55" s="733"/>
      <c r="H55" s="733"/>
      <c r="I55" s="44">
        <f t="shared" si="15"/>
        <v>0</v>
      </c>
      <c r="J55" s="330" t="str">
        <f t="shared" si="16"/>
        <v/>
      </c>
      <c r="K55" s="735"/>
    </row>
    <row r="56" spans="1:11" ht="12.75" customHeight="1" x14ac:dyDescent="0.25">
      <c r="A56" s="39" t="s">
        <v>427</v>
      </c>
      <c r="B56" s="169"/>
      <c r="C56" s="748"/>
      <c r="D56" s="745"/>
      <c r="E56" s="733"/>
      <c r="F56" s="733"/>
      <c r="G56" s="733"/>
      <c r="H56" s="733"/>
      <c r="I56" s="44">
        <f t="shared" si="15"/>
        <v>0</v>
      </c>
      <c r="J56" s="330" t="str">
        <f t="shared" si="16"/>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5"/>
        <v>0</v>
      </c>
      <c r="J62" s="330" t="str">
        <f t="shared" si="16"/>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5"/>
        <v>0</v>
      </c>
      <c r="J64" s="330" t="str">
        <f t="shared" si="16"/>
        <v/>
      </c>
      <c r="K64" s="735"/>
    </row>
    <row r="65" spans="1:11" ht="12.75" customHeight="1" x14ac:dyDescent="0.25">
      <c r="A65" s="39" t="s">
        <v>1054</v>
      </c>
      <c r="B65" s="169"/>
      <c r="C65" s="748"/>
      <c r="D65" s="745"/>
      <c r="E65" s="733"/>
      <c r="F65" s="733"/>
      <c r="G65" s="733"/>
      <c r="H65" s="733"/>
      <c r="I65" s="44">
        <f t="shared" si="15"/>
        <v>0</v>
      </c>
      <c r="J65" s="330" t="str">
        <f t="shared" si="16"/>
        <v/>
      </c>
      <c r="K65" s="735"/>
    </row>
    <row r="66" spans="1:11" ht="12.75" customHeight="1" x14ac:dyDescent="0.25">
      <c r="A66" s="39" t="s">
        <v>1055</v>
      </c>
      <c r="B66" s="169"/>
      <c r="C66" s="748"/>
      <c r="D66" s="745"/>
      <c r="E66" s="733"/>
      <c r="F66" s="733"/>
      <c r="G66" s="733"/>
      <c r="H66" s="733"/>
      <c r="I66" s="44">
        <f t="shared" si="15"/>
        <v>0</v>
      </c>
      <c r="J66" s="330" t="str">
        <f t="shared" si="16"/>
        <v/>
      </c>
      <c r="K66" s="735"/>
    </row>
    <row r="67" spans="1:11" ht="12.75" customHeight="1" x14ac:dyDescent="0.25">
      <c r="A67" s="87" t="s">
        <v>770</v>
      </c>
      <c r="B67" s="169">
        <v>2</v>
      </c>
      <c r="C67" s="516">
        <f t="shared" ref="C67:K67" si="17">SUM(C54:C66)</f>
        <v>0</v>
      </c>
      <c r="D67" s="475">
        <f t="shared" si="17"/>
        <v>0</v>
      </c>
      <c r="E67" s="430">
        <f t="shared" si="17"/>
        <v>0</v>
      </c>
      <c r="F67" s="430">
        <f>SUM(F54:F66)</f>
        <v>0</v>
      </c>
      <c r="G67" s="430">
        <f>SUM(G54:G66)</f>
        <v>0</v>
      </c>
      <c r="H67" s="430">
        <f>SUM(H54:H66)</f>
        <v>0</v>
      </c>
      <c r="I67" s="430">
        <f t="shared" si="15"/>
        <v>0</v>
      </c>
      <c r="J67" s="431" t="str">
        <f>IF(I67=0,"",I67/H67)</f>
        <v/>
      </c>
      <c r="K67" s="513">
        <f t="shared" si="17"/>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c r="F71" s="733">
        <v>51748.11</v>
      </c>
      <c r="G71" s="733">
        <v>103496.22</v>
      </c>
      <c r="H71" s="733">
        <f t="shared" ref="H71:H75" si="18">D71/12*2</f>
        <v>97106.862412499977</v>
      </c>
      <c r="I71" s="44">
        <f t="shared" ref="I71:I83" si="19">G71-H71</f>
        <v>6389.3575875000242</v>
      </c>
      <c r="J71" s="330">
        <f t="shared" ref="J71:J82" si="20">IF(I71=0,"",I71/H71)</f>
        <v>6.5797178785971785E-2</v>
      </c>
      <c r="K71" s="735">
        <f>D71</f>
        <v>582641.17447499989</v>
      </c>
    </row>
    <row r="72" spans="1:11" ht="12.75" customHeight="1" x14ac:dyDescent="0.25">
      <c r="A72" s="518" t="s">
        <v>1048</v>
      </c>
      <c r="B72" s="169"/>
      <c r="C72" s="748"/>
      <c r="D72" s="745"/>
      <c r="E72" s="733"/>
      <c r="F72" s="733"/>
      <c r="G72" s="733"/>
      <c r="H72" s="733">
        <f t="shared" si="18"/>
        <v>0</v>
      </c>
      <c r="I72" s="44">
        <f t="shared" si="19"/>
        <v>0</v>
      </c>
      <c r="J72" s="330" t="str">
        <f t="shared" si="20"/>
        <v/>
      </c>
      <c r="K72" s="735"/>
    </row>
    <row r="73" spans="1:11" ht="12.75" customHeight="1" x14ac:dyDescent="0.25">
      <c r="A73" s="518" t="s">
        <v>427</v>
      </c>
      <c r="B73" s="169"/>
      <c r="C73" s="748"/>
      <c r="D73" s="745">
        <v>27003.628799999999</v>
      </c>
      <c r="E73" s="733"/>
      <c r="F73" s="733">
        <v>2254</v>
      </c>
      <c r="G73" s="733">
        <v>4508</v>
      </c>
      <c r="H73" s="733">
        <f t="shared" si="18"/>
        <v>4500.6048000000001</v>
      </c>
      <c r="I73" s="44">
        <f t="shared" si="19"/>
        <v>7.3951999999999316</v>
      </c>
      <c r="J73" s="330">
        <f t="shared" si="20"/>
        <v>1.6431569374853645E-3</v>
      </c>
      <c r="K73" s="735">
        <f t="shared" ref="K73:K77" si="21">D73</f>
        <v>27003.628799999999</v>
      </c>
    </row>
    <row r="74" spans="1:11" ht="12.75" customHeight="1" x14ac:dyDescent="0.25">
      <c r="A74" s="518" t="s">
        <v>539</v>
      </c>
      <c r="B74" s="169"/>
      <c r="C74" s="748"/>
      <c r="D74" s="745"/>
      <c r="E74" s="733"/>
      <c r="F74" s="733"/>
      <c r="G74" s="733"/>
      <c r="H74" s="733">
        <f t="shared" si="18"/>
        <v>0</v>
      </c>
      <c r="I74" s="44">
        <f t="shared" si="19"/>
        <v>0</v>
      </c>
      <c r="J74" s="330" t="str">
        <f t="shared" si="20"/>
        <v/>
      </c>
      <c r="K74" s="735"/>
    </row>
    <row r="75" spans="1:11" ht="12.75" customHeight="1" x14ac:dyDescent="0.25">
      <c r="A75" s="518" t="s">
        <v>429</v>
      </c>
      <c r="B75" s="169"/>
      <c r="C75" s="748"/>
      <c r="D75" s="745">
        <v>62095.416074999994</v>
      </c>
      <c r="E75" s="733"/>
      <c r="F75" s="733"/>
      <c r="G75" s="733"/>
      <c r="H75" s="733">
        <f t="shared" si="18"/>
        <v>10349.2360125</v>
      </c>
      <c r="I75" s="44">
        <f>G75-H75</f>
        <v>-10349.2360125</v>
      </c>
      <c r="J75" s="330">
        <f>IF(I75=0,"",I75/H75)</f>
        <v>-1</v>
      </c>
      <c r="K75" s="735">
        <f t="shared" si="21"/>
        <v>62095.416074999994</v>
      </c>
    </row>
    <row r="76" spans="1:11" ht="12.75" customHeight="1" x14ac:dyDescent="0.25">
      <c r="A76" s="518" t="s">
        <v>1049</v>
      </c>
      <c r="B76" s="169"/>
      <c r="C76" s="748"/>
      <c r="D76" s="745">
        <v>24952.949999999997</v>
      </c>
      <c r="E76" s="733"/>
      <c r="F76" s="733">
        <v>2500</v>
      </c>
      <c r="G76" s="733">
        <v>5000</v>
      </c>
      <c r="H76" s="733"/>
      <c r="I76" s="44">
        <f>G76-H76</f>
        <v>5000</v>
      </c>
      <c r="J76" s="330" t="e">
        <f>IF(I76=0,"",I76/H76)</f>
        <v>#DIV/0!</v>
      </c>
      <c r="K76" s="735">
        <f t="shared" si="21"/>
        <v>24952.949999999997</v>
      </c>
    </row>
    <row r="77" spans="1:11" ht="12.75" customHeight="1" x14ac:dyDescent="0.25">
      <c r="A77" s="518" t="s">
        <v>1050</v>
      </c>
      <c r="B77" s="169"/>
      <c r="C77" s="748"/>
      <c r="D77" s="745">
        <v>8166.4199999999992</v>
      </c>
      <c r="E77" s="733"/>
      <c r="F77" s="733">
        <v>600</v>
      </c>
      <c r="G77" s="733">
        <v>1200</v>
      </c>
      <c r="H77" s="733"/>
      <c r="I77" s="44">
        <f>G77-H77</f>
        <v>1200</v>
      </c>
      <c r="J77" s="330" t="e">
        <f>IF(I77=0,"",I77/H77)</f>
        <v>#DIV/0!</v>
      </c>
      <c r="K77" s="735">
        <f t="shared" si="21"/>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19"/>
        <v>0</v>
      </c>
      <c r="J79" s="330" t="str">
        <f t="shared" si="20"/>
        <v/>
      </c>
      <c r="K79" s="735"/>
    </row>
    <row r="80" spans="1:11" ht="12.75" customHeight="1" x14ac:dyDescent="0.25">
      <c r="A80" s="518" t="s">
        <v>1053</v>
      </c>
      <c r="B80" s="169"/>
      <c r="C80" s="748"/>
      <c r="D80" s="745"/>
      <c r="E80" s="733"/>
      <c r="F80" s="733"/>
      <c r="G80" s="733"/>
      <c r="H80" s="733"/>
      <c r="I80" s="44">
        <f t="shared" si="19"/>
        <v>0</v>
      </c>
      <c r="J80" s="330" t="str">
        <f t="shared" si="20"/>
        <v/>
      </c>
      <c r="K80" s="735"/>
    </row>
    <row r="81" spans="1:11" ht="12.75" customHeight="1" x14ac:dyDescent="0.25">
      <c r="A81" s="518" t="s">
        <v>1054</v>
      </c>
      <c r="B81" s="169"/>
      <c r="C81" s="748"/>
      <c r="D81" s="745"/>
      <c r="E81" s="733"/>
      <c r="F81" s="733"/>
      <c r="G81" s="733"/>
      <c r="H81" s="733"/>
      <c r="I81" s="44">
        <f t="shared" si="19"/>
        <v>0</v>
      </c>
      <c r="J81" s="330" t="str">
        <f t="shared" si="20"/>
        <v/>
      </c>
      <c r="K81" s="735"/>
    </row>
    <row r="82" spans="1:11" ht="12.75" customHeight="1" x14ac:dyDescent="0.25">
      <c r="A82" s="518" t="s">
        <v>1055</v>
      </c>
      <c r="B82" s="169">
        <v>2</v>
      </c>
      <c r="C82" s="748"/>
      <c r="D82" s="745"/>
      <c r="E82" s="733"/>
      <c r="F82" s="733"/>
      <c r="G82" s="733"/>
      <c r="H82" s="733"/>
      <c r="I82" s="44">
        <f t="shared" si="19"/>
        <v>0</v>
      </c>
      <c r="J82" s="330" t="str">
        <f t="shared" si="20"/>
        <v/>
      </c>
      <c r="K82" s="735"/>
    </row>
    <row r="83" spans="1:11" ht="12.75" customHeight="1" x14ac:dyDescent="0.25">
      <c r="A83" s="87" t="s">
        <v>831</v>
      </c>
      <c r="B83" s="169"/>
      <c r="C83" s="516">
        <f t="shared" ref="C83:K83" si="22">SUM(C71:C82)</f>
        <v>0</v>
      </c>
      <c r="D83" s="475">
        <f t="shared" si="22"/>
        <v>704859.58934999979</v>
      </c>
      <c r="E83" s="430">
        <f t="shared" si="22"/>
        <v>0</v>
      </c>
      <c r="F83" s="430">
        <f>SUM(F71:F82)</f>
        <v>57102.11</v>
      </c>
      <c r="G83" s="430">
        <f>SUM(G71:G82)</f>
        <v>114204.22</v>
      </c>
      <c r="H83" s="430">
        <f>SUM(H71:H82)</f>
        <v>111956.70322499998</v>
      </c>
      <c r="I83" s="430">
        <f t="shared" si="19"/>
        <v>2247.5167750000255</v>
      </c>
      <c r="J83" s="431">
        <f>IF(I83=0,"",I83/H83)</f>
        <v>2.0074874574353793E-2</v>
      </c>
      <c r="K83" s="513">
        <f t="shared" si="22"/>
        <v>704859.58934999979</v>
      </c>
    </row>
    <row r="84" spans="1:11" ht="12.75" customHeight="1" x14ac:dyDescent="0.25">
      <c r="A84" s="565" t="s">
        <v>722</v>
      </c>
      <c r="B84" s="169">
        <v>4</v>
      </c>
      <c r="C84" s="173"/>
      <c r="D84" s="303" t="e">
        <f>IF(D83=0,"",(D83/C83)-1)</f>
        <v>#DIV/0!</v>
      </c>
      <c r="E84" s="303" t="str">
        <f>IF(E83=0,"",(E83/C83)-1)</f>
        <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c r="F87" s="733">
        <v>459112.78</v>
      </c>
      <c r="G87" s="733">
        <v>939229.15</v>
      </c>
      <c r="H87" s="733">
        <f t="shared" ref="H87:H93" si="23">D87/12*2</f>
        <v>1128264.5916358202</v>
      </c>
      <c r="I87" s="44">
        <f t="shared" ref="I87:I99" si="24">G87-H87</f>
        <v>-189035.4416358202</v>
      </c>
      <c r="J87" s="330">
        <f t="shared" ref="J87:J98" si="25">IF(I87=0,"",I87/H87)</f>
        <v>-0.16754531076947668</v>
      </c>
      <c r="K87" s="735">
        <f>D87</f>
        <v>6769587.5498149209</v>
      </c>
    </row>
    <row r="88" spans="1:11" ht="12.75" customHeight="1" x14ac:dyDescent="0.25">
      <c r="A88" s="518" t="s">
        <v>1048</v>
      </c>
      <c r="B88" s="169"/>
      <c r="C88" s="748"/>
      <c r="D88" s="745">
        <v>570880.67137872009</v>
      </c>
      <c r="E88" s="733"/>
      <c r="F88" s="733">
        <v>34244.870000000003</v>
      </c>
      <c r="G88" s="733">
        <v>68489.740000000005</v>
      </c>
      <c r="H88" s="733">
        <f t="shared" si="23"/>
        <v>95146.778563120009</v>
      </c>
      <c r="I88" s="44">
        <f t="shared" si="24"/>
        <v>-26657.038563120004</v>
      </c>
      <c r="J88" s="330">
        <f t="shared" si="25"/>
        <v>-0.28016753657545879</v>
      </c>
      <c r="K88" s="735">
        <f t="shared" ref="K88:K93" si="26">D88</f>
        <v>570880.67137872009</v>
      </c>
    </row>
    <row r="89" spans="1:11" ht="12.75" customHeight="1" x14ac:dyDescent="0.25">
      <c r="A89" s="518" t="s">
        <v>427</v>
      </c>
      <c r="B89" s="169"/>
      <c r="C89" s="748"/>
      <c r="D89" s="745">
        <v>890013.09891456028</v>
      </c>
      <c r="E89" s="733"/>
      <c r="F89" s="733">
        <v>63309.4</v>
      </c>
      <c r="G89" s="733">
        <v>126618.8</v>
      </c>
      <c r="H89" s="733">
        <f t="shared" si="23"/>
        <v>148335.51648576005</v>
      </c>
      <c r="I89" s="44">
        <f>G89-H89</f>
        <v>-21716.716485760044</v>
      </c>
      <c r="J89" s="330">
        <f>IF(I89=0,"",I89/H89)</f>
        <v>-0.14640267550384545</v>
      </c>
      <c r="K89" s="735">
        <f t="shared" si="26"/>
        <v>890013.09891456028</v>
      </c>
    </row>
    <row r="90" spans="1:11" ht="12.75" customHeight="1" x14ac:dyDescent="0.25">
      <c r="A90" s="518" t="s">
        <v>539</v>
      </c>
      <c r="B90" s="169"/>
      <c r="C90" s="748"/>
      <c r="D90" s="745">
        <v>1067347.5086988001</v>
      </c>
      <c r="E90" s="733"/>
      <c r="F90" s="733">
        <v>63900</v>
      </c>
      <c r="G90" s="733">
        <v>136908</v>
      </c>
      <c r="H90" s="733">
        <f t="shared" si="23"/>
        <v>177891.25144980001</v>
      </c>
      <c r="I90" s="44">
        <f>G90-H90</f>
        <v>-40983.251449800009</v>
      </c>
      <c r="J90" s="330">
        <f>IF(I90=0,"",I90/H90)</f>
        <v>-0.23038373790610647</v>
      </c>
      <c r="K90" s="735">
        <f t="shared" si="26"/>
        <v>1067347.5086988001</v>
      </c>
    </row>
    <row r="91" spans="1:11" ht="12.75" customHeight="1" x14ac:dyDescent="0.25">
      <c r="A91" s="518" t="s">
        <v>429</v>
      </c>
      <c r="B91" s="169"/>
      <c r="C91" s="748"/>
      <c r="D91" s="745">
        <v>690873.07393068005</v>
      </c>
      <c r="E91" s="733"/>
      <c r="F91" s="733"/>
      <c r="G91" s="733"/>
      <c r="H91" s="733">
        <f t="shared" si="23"/>
        <v>115145.51232178001</v>
      </c>
      <c r="I91" s="44">
        <f>G91-H91</f>
        <v>-115145.51232178001</v>
      </c>
      <c r="J91" s="330">
        <f>IF(I91=0,"",I91/H91)</f>
        <v>-1</v>
      </c>
      <c r="K91" s="735">
        <f t="shared" si="26"/>
        <v>690873.07393068005</v>
      </c>
    </row>
    <row r="92" spans="1:11" ht="12.75" customHeight="1" x14ac:dyDescent="0.25">
      <c r="A92" s="518" t="s">
        <v>1049</v>
      </c>
      <c r="B92" s="169"/>
      <c r="C92" s="748"/>
      <c r="D92" s="745">
        <v>195338.53416000001</v>
      </c>
      <c r="E92" s="733"/>
      <c r="F92" s="733">
        <v>8500</v>
      </c>
      <c r="G92" s="733">
        <v>17000</v>
      </c>
      <c r="H92" s="733">
        <f t="shared" si="23"/>
        <v>32556.42236</v>
      </c>
      <c r="I92" s="44">
        <f>G92-H92</f>
        <v>-15556.42236</v>
      </c>
      <c r="J92" s="330">
        <f>IF(I92=0,"",I92/H92)</f>
        <v>-0.47782960265047991</v>
      </c>
      <c r="K92" s="735">
        <f t="shared" si="26"/>
        <v>195338.53416000001</v>
      </c>
    </row>
    <row r="93" spans="1:11" ht="12.75" customHeight="1" x14ac:dyDescent="0.25">
      <c r="A93" s="518" t="s">
        <v>1050</v>
      </c>
      <c r="B93" s="169"/>
      <c r="C93" s="748"/>
      <c r="D93" s="745">
        <v>92722.382124000011</v>
      </c>
      <c r="E93" s="733"/>
      <c r="F93" s="733">
        <v>4650</v>
      </c>
      <c r="G93" s="733">
        <v>9300</v>
      </c>
      <c r="H93" s="733">
        <f t="shared" si="23"/>
        <v>15453.730354000001</v>
      </c>
      <c r="I93" s="44">
        <f t="shared" si="24"/>
        <v>-6153.7303540000012</v>
      </c>
      <c r="J93" s="330">
        <f t="shared" si="25"/>
        <v>-0.39820355428986676</v>
      </c>
      <c r="K93" s="735">
        <f t="shared" si="26"/>
        <v>92722.382124000011</v>
      </c>
    </row>
    <row r="94" spans="1:11" ht="12.75" customHeight="1" x14ac:dyDescent="0.25">
      <c r="A94" s="518" t="s">
        <v>1051</v>
      </c>
      <c r="B94" s="169"/>
      <c r="C94" s="748"/>
      <c r="D94" s="745"/>
      <c r="E94" s="733"/>
      <c r="F94" s="733"/>
      <c r="G94" s="733"/>
      <c r="H94" s="733"/>
      <c r="I94" s="44">
        <f t="shared" si="24"/>
        <v>0</v>
      </c>
      <c r="J94" s="330" t="str">
        <f t="shared" si="25"/>
        <v/>
      </c>
      <c r="K94" s="735"/>
    </row>
    <row r="95" spans="1:11" ht="12.75" customHeight="1" x14ac:dyDescent="0.25">
      <c r="A95" s="518" t="s">
        <v>1052</v>
      </c>
      <c r="B95" s="169"/>
      <c r="C95" s="748"/>
      <c r="D95" s="745"/>
      <c r="E95" s="733"/>
      <c r="F95" s="733"/>
      <c r="G95" s="733"/>
      <c r="H95" s="733"/>
      <c r="I95" s="44">
        <f t="shared" si="24"/>
        <v>0</v>
      </c>
      <c r="J95" s="330" t="str">
        <f t="shared" si="25"/>
        <v/>
      </c>
      <c r="K95" s="735"/>
    </row>
    <row r="96" spans="1:11" ht="12.75" customHeight="1" x14ac:dyDescent="0.25">
      <c r="A96" s="518" t="s">
        <v>1053</v>
      </c>
      <c r="B96" s="169"/>
      <c r="C96" s="748"/>
      <c r="D96" s="745"/>
      <c r="E96" s="733"/>
      <c r="F96" s="733"/>
      <c r="G96" s="733"/>
      <c r="H96" s="733"/>
      <c r="I96" s="44">
        <f t="shared" si="24"/>
        <v>0</v>
      </c>
      <c r="J96" s="330" t="str">
        <f t="shared" si="25"/>
        <v/>
      </c>
      <c r="K96" s="735"/>
    </row>
    <row r="97" spans="1:14" ht="12.75" customHeight="1" x14ac:dyDescent="0.25">
      <c r="A97" s="518" t="s">
        <v>1054</v>
      </c>
      <c r="B97" s="169"/>
      <c r="C97" s="748"/>
      <c r="D97" s="745"/>
      <c r="E97" s="733"/>
      <c r="F97" s="733"/>
      <c r="G97" s="733"/>
      <c r="H97" s="733"/>
      <c r="I97" s="44">
        <f t="shared" si="24"/>
        <v>0</v>
      </c>
      <c r="J97" s="330" t="str">
        <f t="shared" si="25"/>
        <v/>
      </c>
      <c r="K97" s="735"/>
    </row>
    <row r="98" spans="1:14" ht="12.75" customHeight="1" x14ac:dyDescent="0.25">
      <c r="A98" s="518" t="s">
        <v>1055</v>
      </c>
      <c r="B98" s="169"/>
      <c r="C98" s="748"/>
      <c r="D98" s="745"/>
      <c r="E98" s="733"/>
      <c r="F98" s="733"/>
      <c r="G98" s="733"/>
      <c r="H98" s="733"/>
      <c r="I98" s="44">
        <f t="shared" si="24"/>
        <v>0</v>
      </c>
      <c r="J98" s="330" t="str">
        <f t="shared" si="25"/>
        <v/>
      </c>
      <c r="K98" s="735"/>
    </row>
    <row r="99" spans="1:14" ht="12.75" customHeight="1" x14ac:dyDescent="0.25">
      <c r="A99" s="87" t="s">
        <v>510</v>
      </c>
      <c r="B99" s="169"/>
      <c r="C99" s="516">
        <f t="shared" ref="C99:H99" si="27">SUM(C87:C98)</f>
        <v>0</v>
      </c>
      <c r="D99" s="475">
        <f t="shared" si="27"/>
        <v>10276762.819021681</v>
      </c>
      <c r="E99" s="430">
        <f t="shared" si="27"/>
        <v>0</v>
      </c>
      <c r="F99" s="430">
        <f t="shared" si="27"/>
        <v>633717.05000000005</v>
      </c>
      <c r="G99" s="430">
        <f t="shared" si="27"/>
        <v>1297545.69</v>
      </c>
      <c r="H99" s="430">
        <f t="shared" si="27"/>
        <v>1712793.8031702803</v>
      </c>
      <c r="I99" s="430">
        <f t="shared" si="24"/>
        <v>-415248.11317028035</v>
      </c>
      <c r="J99" s="431">
        <f>IF(I99=0,"",I99/H99)</f>
        <v>-0.2424390562376397</v>
      </c>
      <c r="K99" s="513">
        <f>SUM(K87:K98)</f>
        <v>10276762.819021681</v>
      </c>
    </row>
    <row r="100" spans="1:14" ht="12.75" customHeight="1" x14ac:dyDescent="0.25">
      <c r="A100" s="565" t="s">
        <v>722</v>
      </c>
      <c r="B100" s="169">
        <v>4</v>
      </c>
      <c r="C100" s="399"/>
      <c r="D100" s="303" t="e">
        <f>IF(D99=0,"",(D99/C99)-1)</f>
        <v>#DIV/0!</v>
      </c>
      <c r="E100" s="303" t="str">
        <f>IF(E99=0,"",(E99/C99)-1)</f>
        <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8">C67+C83+C99</f>
        <v>0</v>
      </c>
      <c r="D102" s="475">
        <f t="shared" si="28"/>
        <v>10981622.408371681</v>
      </c>
      <c r="E102" s="430">
        <f t="shared" si="28"/>
        <v>0</v>
      </c>
      <c r="F102" s="430">
        <f t="shared" si="28"/>
        <v>690819.16</v>
      </c>
      <c r="G102" s="430">
        <f t="shared" si="28"/>
        <v>1411749.91</v>
      </c>
      <c r="H102" s="430">
        <f t="shared" si="28"/>
        <v>1824750.5063952804</v>
      </c>
      <c r="I102" s="430">
        <f>G102-H102</f>
        <v>-413000.59639528044</v>
      </c>
      <c r="J102" s="431">
        <f>IF(I102=0,"",I102/H102)</f>
        <v>-0.22633263832388031</v>
      </c>
      <c r="K102" s="513">
        <f>K67+K83+K99</f>
        <v>10981622.408371681</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9">C49+C102</f>
        <v>0</v>
      </c>
      <c r="D104" s="56">
        <f t="shared" si="29"/>
        <v>1494829497.1356347</v>
      </c>
      <c r="E104" s="55">
        <f t="shared" si="29"/>
        <v>0</v>
      </c>
      <c r="F104" s="55">
        <f t="shared" si="29"/>
        <v>113838910.03000003</v>
      </c>
      <c r="G104" s="55">
        <f t="shared" si="29"/>
        <v>222447932.90000001</v>
      </c>
      <c r="H104" s="55">
        <f t="shared" si="29"/>
        <v>249132729.62760583</v>
      </c>
      <c r="I104" s="55">
        <f>G104-H104</f>
        <v>-26684796.72760582</v>
      </c>
      <c r="J104" s="332">
        <f>IF(I104=0,"",I104/H104)</f>
        <v>-0.10711076287524825</v>
      </c>
      <c r="K104" s="235">
        <f>K49+K102</f>
        <v>1494829497.1356347</v>
      </c>
    </row>
    <row r="105" spans="1:14" ht="12.75" customHeight="1" x14ac:dyDescent="0.25">
      <c r="A105" s="565" t="s">
        <v>722</v>
      </c>
      <c r="B105" s="169">
        <v>4</v>
      </c>
      <c r="C105" s="399"/>
      <c r="D105" s="303" t="e">
        <f>IF(D104=0,"",(D104/C104)-1)</f>
        <v>#DIV/0!</v>
      </c>
      <c r="E105" s="303" t="str">
        <f>IF(E104=0,"",(E104/C104)-1)</f>
        <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0">C30+C46+C83+C99</f>
        <v>0</v>
      </c>
      <c r="D106" s="56">
        <f t="shared" si="30"/>
        <v>1441179096.0201545</v>
      </c>
      <c r="E106" s="55">
        <f t="shared" si="30"/>
        <v>0</v>
      </c>
      <c r="F106" s="55">
        <f t="shared" si="30"/>
        <v>110156198.96000002</v>
      </c>
      <c r="G106" s="55">
        <f t="shared" si="30"/>
        <v>215080592.71000001</v>
      </c>
      <c r="H106" s="55">
        <f t="shared" si="30"/>
        <v>240190996.10835916</v>
      </c>
      <c r="I106" s="55">
        <f t="shared" si="30"/>
        <v>-25110403.398359127</v>
      </c>
      <c r="J106" s="888">
        <f>IF(I106=0,"",I106/H106)</f>
        <v>-0.10454348333286766</v>
      </c>
      <c r="K106" s="235">
        <f>K30+K46+K83+K99</f>
        <v>1441179096.0201545</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L5" activePane="bottomRight" state="frozen"/>
      <selection pane="topRight"/>
      <selection pane="bottomLeft"/>
      <selection pane="bottomRight" activeCell="W32" sqref="W32"/>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M02 August</v>
      </c>
      <c r="B1" s="68"/>
    </row>
    <row r="2" spans="1:17" ht="25.5" customHeight="1" x14ac:dyDescent="0.25">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5">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7" activePane="bottomRight" state="frozen"/>
      <selection pane="topRight"/>
      <selection pane="bottomLeft"/>
      <selection pane="bottomRight" activeCell="L43" sqref="L43"/>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"&amp;S71P&amp; " - "&amp;Head57</f>
        <v>KZN225 Msunduzi - Supporting Table SC10 Monthly Budget Statement  - Parent Municipality Financial Performance (revenue and expenditure)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c r="F6" s="733">
        <v>101909950.48999998</v>
      </c>
      <c r="G6" s="733">
        <v>204038346.90999997</v>
      </c>
      <c r="H6" s="733">
        <f>D6/12*2</f>
        <v>211632432.33696663</v>
      </c>
      <c r="I6" s="44">
        <f t="shared" ref="I6:I21" si="0">G6-H6</f>
        <v>-7594085.4269666672</v>
      </c>
      <c r="J6" s="330">
        <f>IF(I6=0,"",I6/H6)</f>
        <v>-3.5883372615002448E-2</v>
      </c>
      <c r="K6" s="735">
        <f>D6</f>
        <v>1269794594.0217998</v>
      </c>
    </row>
    <row r="7" spans="1:11" ht="12.75" customHeight="1" x14ac:dyDescent="0.25">
      <c r="A7" s="39" t="str">
        <f>'C4-FinPerf RE'!A7</f>
        <v>Service charges - electricity revenue</v>
      </c>
      <c r="B7" s="169"/>
      <c r="C7" s="748"/>
      <c r="D7" s="745">
        <v>2584775677.1378117</v>
      </c>
      <c r="E7" s="733"/>
      <c r="F7" s="733">
        <v>211055589.65000001</v>
      </c>
      <c r="G7" s="733">
        <v>426736739.92000002</v>
      </c>
      <c r="H7" s="733">
        <f>D7/12*2</f>
        <v>430795946.18963528</v>
      </c>
      <c r="I7" s="44">
        <f t="shared" si="0"/>
        <v>-4059206.2696352601</v>
      </c>
      <c r="J7" s="330">
        <f t="shared" ref="J7:J22" si="1">IF(I7=0,"",I7/H7)</f>
        <v>-9.4225730430815332E-3</v>
      </c>
      <c r="K7" s="735">
        <f>D7</f>
        <v>2584775677.1378117</v>
      </c>
    </row>
    <row r="8" spans="1:11" ht="12.75" customHeight="1" x14ac:dyDescent="0.25">
      <c r="A8" s="86" t="str">
        <f>'C4-FinPerf RE'!A8</f>
        <v>Service charges - water revenue</v>
      </c>
      <c r="B8" s="171"/>
      <c r="C8" s="748"/>
      <c r="D8" s="745">
        <v>722633094.82360029</v>
      </c>
      <c r="E8" s="733"/>
      <c r="F8" s="733">
        <v>63649147.949999996</v>
      </c>
      <c r="G8" s="733">
        <v>126329856.89999999</v>
      </c>
      <c r="H8" s="733">
        <f>D8/12*2</f>
        <v>120438849.13726671</v>
      </c>
      <c r="I8" s="44">
        <f t="shared" si="0"/>
        <v>5891007.7627332807</v>
      </c>
      <c r="J8" s="330">
        <f t="shared" si="1"/>
        <v>4.8912853327078662E-2</v>
      </c>
      <c r="K8" s="735">
        <f>D8</f>
        <v>722633094.82360029</v>
      </c>
    </row>
    <row r="9" spans="1:11" ht="12.75" customHeight="1" x14ac:dyDescent="0.25">
      <c r="A9" s="86" t="str">
        <f>'C4-FinPerf RE'!A9</f>
        <v>Service charges - sanitation revenue</v>
      </c>
      <c r="B9" s="171"/>
      <c r="C9" s="748"/>
      <c r="D9" s="745">
        <v>152021749.3608</v>
      </c>
      <c r="E9" s="733"/>
      <c r="F9" s="733">
        <v>14470362.050000001</v>
      </c>
      <c r="G9" s="733">
        <v>24347516.040000003</v>
      </c>
      <c r="H9" s="733">
        <f>D9/12*2</f>
        <v>25336958.226799998</v>
      </c>
      <c r="I9" s="44">
        <f t="shared" si="0"/>
        <v>-989442.1867999956</v>
      </c>
      <c r="J9" s="330">
        <f t="shared" si="1"/>
        <v>-3.9051340651989543E-2</v>
      </c>
      <c r="K9" s="735">
        <f>D9</f>
        <v>152021749.3608</v>
      </c>
    </row>
    <row r="10" spans="1:11" ht="12.75" customHeight="1" x14ac:dyDescent="0.25">
      <c r="A10" s="86" t="str">
        <f>'C4-FinPerf RE'!A10</f>
        <v>Service charges - refuse revenue</v>
      </c>
      <c r="B10" s="171"/>
      <c r="C10" s="748"/>
      <c r="D10" s="745">
        <v>116333080.9707</v>
      </c>
      <c r="E10" s="733"/>
      <c r="F10" s="733">
        <v>8816844.8100000005</v>
      </c>
      <c r="G10" s="733">
        <v>17811648.800000001</v>
      </c>
      <c r="H10" s="733">
        <f>D10/12*2</f>
        <v>19388846.828449998</v>
      </c>
      <c r="I10" s="44">
        <f t="shared" si="0"/>
        <v>-1577198.0284499973</v>
      </c>
      <c r="J10" s="330">
        <f t="shared" si="1"/>
        <v>-8.1345633518323232E-2</v>
      </c>
      <c r="K10" s="735">
        <f>D10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c r="F12" s="733">
        <v>-7927407.4500000002</v>
      </c>
      <c r="G12" s="733">
        <v>-3497716.16</v>
      </c>
      <c r="H12" s="733">
        <f>D12/12*2</f>
        <v>4846466.2711666655</v>
      </c>
      <c r="I12" s="44">
        <f t="shared" si="0"/>
        <v>-8344182.4311666656</v>
      </c>
      <c r="J12" s="330">
        <f t="shared" si="1"/>
        <v>-1.7217044263382468</v>
      </c>
      <c r="K12" s="735">
        <f t="shared" ref="K12:K20" si="2">D12</f>
        <v>29078797.626999993</v>
      </c>
    </row>
    <row r="13" spans="1:11" ht="12.75" customHeight="1" x14ac:dyDescent="0.25">
      <c r="A13" s="86" t="str">
        <f>'C4-FinPerf RE'!A13</f>
        <v>Interest earned - external investments</v>
      </c>
      <c r="B13" s="171"/>
      <c r="C13" s="748"/>
      <c r="D13" s="745">
        <v>15260422.42725</v>
      </c>
      <c r="E13" s="733"/>
      <c r="F13" s="733">
        <v>727878.04999999981</v>
      </c>
      <c r="G13" s="733">
        <v>869647.49</v>
      </c>
      <c r="H13" s="733">
        <f>D13/12*2</f>
        <v>2543403.7378750001</v>
      </c>
      <c r="I13" s="44">
        <f t="shared" si="0"/>
        <v>-1673756.2478750001</v>
      </c>
      <c r="J13" s="330">
        <f t="shared" si="1"/>
        <v>-0.65807729341210075</v>
      </c>
      <c r="K13" s="735">
        <f t="shared" si="2"/>
        <v>15260422.42725</v>
      </c>
    </row>
    <row r="14" spans="1:11" ht="12.75" customHeight="1" x14ac:dyDescent="0.25">
      <c r="A14" s="86" t="str">
        <f>'C4-FinPerf RE'!A14</f>
        <v>Interest earned - outstanding debtors</v>
      </c>
      <c r="B14" s="171"/>
      <c r="C14" s="748"/>
      <c r="D14" s="745">
        <v>202457793.88559997</v>
      </c>
      <c r="E14" s="733"/>
      <c r="F14" s="733">
        <v>15467748.879999999</v>
      </c>
      <c r="G14" s="733">
        <v>30144824.340000004</v>
      </c>
      <c r="H14" s="733">
        <f>D14/12*2</f>
        <v>33742965.647599995</v>
      </c>
      <c r="I14" s="44">
        <f t="shared" si="0"/>
        <v>-3598141.3075999916</v>
      </c>
      <c r="J14" s="330">
        <f t="shared" si="1"/>
        <v>-0.10663381948041409</v>
      </c>
      <c r="K14" s="735">
        <f t="shared" si="2"/>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c r="F16" s="733">
        <v>25568.73</v>
      </c>
      <c r="G16" s="733">
        <v>-237713.06999999998</v>
      </c>
      <c r="H16" s="733">
        <f>D16/12*2</f>
        <v>299758.57394999999</v>
      </c>
      <c r="I16" s="44">
        <f t="shared" si="0"/>
        <v>-537471.64394999994</v>
      </c>
      <c r="J16" s="330">
        <f t="shared" si="1"/>
        <v>-1.7930150816625205</v>
      </c>
      <c r="K16" s="735">
        <f t="shared" si="2"/>
        <v>1798551.4436999999</v>
      </c>
    </row>
    <row r="17" spans="1:11" ht="12.75" customHeight="1" x14ac:dyDescent="0.25">
      <c r="A17" s="86" t="str">
        <f>'C4-FinPerf RE'!A17</f>
        <v>Licences and permits</v>
      </c>
      <c r="B17" s="171"/>
      <c r="C17" s="748"/>
      <c r="D17" s="745">
        <v>1119569.0055</v>
      </c>
      <c r="E17" s="733"/>
      <c r="F17" s="733">
        <v>116697.93000000001</v>
      </c>
      <c r="G17" s="733">
        <v>120833.07</v>
      </c>
      <c r="H17" s="733">
        <f>D17/12*2</f>
        <v>186594.83424999999</v>
      </c>
      <c r="I17" s="44">
        <f t="shared" si="0"/>
        <v>-65761.764249999978</v>
      </c>
      <c r="J17" s="330">
        <f t="shared" si="1"/>
        <v>-0.35243078681316703</v>
      </c>
      <c r="K17" s="735">
        <f t="shared" si="2"/>
        <v>1119569.0055</v>
      </c>
    </row>
    <row r="18" spans="1:11" ht="12.75" customHeight="1" x14ac:dyDescent="0.25">
      <c r="A18" s="86" t="str">
        <f>'C4-FinPerf RE'!A18</f>
        <v>Agency services</v>
      </c>
      <c r="B18" s="171"/>
      <c r="C18" s="748"/>
      <c r="D18" s="745">
        <v>601902.02599999995</v>
      </c>
      <c r="E18" s="733"/>
      <c r="F18" s="733"/>
      <c r="G18" s="733"/>
      <c r="H18" s="733">
        <f>D18/12*2</f>
        <v>100317.00433333333</v>
      </c>
      <c r="I18" s="44">
        <f t="shared" si="0"/>
        <v>-100317.00433333333</v>
      </c>
      <c r="J18" s="330">
        <f t="shared" si="1"/>
        <v>-1</v>
      </c>
      <c r="K18" s="735">
        <f t="shared" si="2"/>
        <v>601902.02599999995</v>
      </c>
    </row>
    <row r="19" spans="1:11" ht="12.75" customHeight="1" x14ac:dyDescent="0.25">
      <c r="A19" s="86" t="str">
        <f>'C4-FinPerf RE'!A19</f>
        <v>Transfers and subsidies</v>
      </c>
      <c r="B19" s="171"/>
      <c r="C19" s="748"/>
      <c r="D19" s="745">
        <v>675483240</v>
      </c>
      <c r="E19" s="733"/>
      <c r="F19" s="733">
        <v>274034420.00999999</v>
      </c>
      <c r="G19" s="733">
        <v>274341991.08999997</v>
      </c>
      <c r="H19" s="733">
        <f>D19/12*2</f>
        <v>112580540</v>
      </c>
      <c r="I19" s="44">
        <f t="shared" si="0"/>
        <v>161761451.08999997</v>
      </c>
      <c r="J19" s="330">
        <f t="shared" si="1"/>
        <v>1.4368509077146012</v>
      </c>
      <c r="K19" s="735">
        <f t="shared" si="2"/>
        <v>675483240</v>
      </c>
    </row>
    <row r="20" spans="1:11" ht="12.75" customHeight="1" x14ac:dyDescent="0.25">
      <c r="A20" s="86" t="str">
        <f>'C4-FinPerf RE'!A20</f>
        <v>Other revenue</v>
      </c>
      <c r="B20" s="171"/>
      <c r="C20" s="748"/>
      <c r="D20" s="745">
        <v>146451785.14229998</v>
      </c>
      <c r="E20" s="733"/>
      <c r="F20" s="733">
        <v>1554055.6300000001</v>
      </c>
      <c r="G20" s="733">
        <v>1052379.4299999997</v>
      </c>
      <c r="H20" s="733">
        <f>D20/12*2</f>
        <v>24408630.857049998</v>
      </c>
      <c r="I20" s="44">
        <f t="shared" si="0"/>
        <v>-23356251.427049998</v>
      </c>
      <c r="J20" s="330">
        <f t="shared" si="1"/>
        <v>-0.95688494630594823</v>
      </c>
      <c r="K20" s="735">
        <f t="shared" si="2"/>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3">SUM(C6:C10)+SUM(C12:C21)</f>
        <v>0</v>
      </c>
      <c r="D22" s="74">
        <f t="shared" si="3"/>
        <v>5917810257.8720617</v>
      </c>
      <c r="E22" s="73">
        <f t="shared" si="3"/>
        <v>0</v>
      </c>
      <c r="F22" s="73">
        <f t="shared" si="3"/>
        <v>683900856.73000002</v>
      </c>
      <c r="G22" s="73">
        <f t="shared" si="3"/>
        <v>1102058354.7599998</v>
      </c>
      <c r="H22" s="73">
        <f t="shared" si="3"/>
        <v>986301709.64534354</v>
      </c>
      <c r="I22" s="73">
        <f>G22-H22</f>
        <v>115756645.11465621</v>
      </c>
      <c r="J22" s="331">
        <f t="shared" si="1"/>
        <v>0.11736433586461108</v>
      </c>
      <c r="K22" s="145">
        <f>SUM(K6:K10)+SUM(K12:K21)</f>
        <v>5917810257.8720617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c r="F25" s="733">
        <v>109465379.8000001</v>
      </c>
      <c r="G25" s="733">
        <v>213668842.80000004</v>
      </c>
      <c r="H25" s="733">
        <f t="shared" ref="H25:H34" si="4">D25/12*2</f>
        <v>244562180.67902997</v>
      </c>
      <c r="I25" s="44">
        <f t="shared" ref="I25:I44" si="5">G25-H25</f>
        <v>-30893337.87902993</v>
      </c>
      <c r="J25" s="330">
        <f t="shared" ref="J25:J44" si="6">IF(I25=0,"",I25/H25)</f>
        <v>-0.1263209944941372</v>
      </c>
      <c r="K25" s="735">
        <f t="shared" ref="K25:K34" si="7">D25</f>
        <v>1467373084.0741799</v>
      </c>
    </row>
    <row r="26" spans="1:11" ht="12.75" customHeight="1" x14ac:dyDescent="0.25">
      <c r="A26" s="39" t="str">
        <f>'C4-FinPerf RE'!A26</f>
        <v>Remuneration of councillors</v>
      </c>
      <c r="B26" s="169"/>
      <c r="C26" s="748"/>
      <c r="D26" s="745">
        <v>53650401.115479976</v>
      </c>
      <c r="E26" s="733"/>
      <c r="F26" s="733">
        <v>3682711.07</v>
      </c>
      <c r="G26" s="733">
        <v>7367340.1899999995</v>
      </c>
      <c r="H26" s="733">
        <f t="shared" si="4"/>
        <v>8941733.519246662</v>
      </c>
      <c r="I26" s="44">
        <f t="shared" si="5"/>
        <v>-1574393.3292466626</v>
      </c>
      <c r="J26" s="330">
        <f t="shared" si="6"/>
        <v>-0.17607249487561386</v>
      </c>
      <c r="K26" s="735">
        <f t="shared" si="7"/>
        <v>53650401.115479976</v>
      </c>
    </row>
    <row r="27" spans="1:11" ht="12.75" customHeight="1" x14ac:dyDescent="0.25">
      <c r="A27" s="39" t="str">
        <f>'C4-FinPerf RE'!A27</f>
        <v>Debt impairment</v>
      </c>
      <c r="B27" s="171"/>
      <c r="C27" s="748"/>
      <c r="D27" s="745">
        <v>123904143.27200001</v>
      </c>
      <c r="E27" s="733"/>
      <c r="F27" s="733">
        <v>1052285.98</v>
      </c>
      <c r="G27" s="733">
        <v>1620158.63</v>
      </c>
      <c r="H27" s="733">
        <f t="shared" si="4"/>
        <v>20650690.545333337</v>
      </c>
      <c r="I27" s="44">
        <f t="shared" si="5"/>
        <v>-19030531.915333338</v>
      </c>
      <c r="J27" s="330">
        <f t="shared" si="6"/>
        <v>-0.92154457854843386</v>
      </c>
      <c r="K27" s="735">
        <f t="shared" si="7"/>
        <v>123904143.27200001</v>
      </c>
    </row>
    <row r="28" spans="1:11" ht="12.75" customHeight="1" x14ac:dyDescent="0.25">
      <c r="A28" s="39" t="str">
        <f>'C4-FinPerf RE'!A28</f>
        <v>Depreciation &amp; asset impairment</v>
      </c>
      <c r="B28" s="171"/>
      <c r="C28" s="748"/>
      <c r="D28" s="745">
        <v>488991448.27473986</v>
      </c>
      <c r="E28" s="733"/>
      <c r="F28" s="733">
        <v>36025079.150000036</v>
      </c>
      <c r="G28" s="733">
        <v>72044574.569999993</v>
      </c>
      <c r="H28" s="733">
        <f t="shared" si="4"/>
        <v>81498574.712456644</v>
      </c>
      <c r="I28" s="44">
        <f t="shared" si="5"/>
        <v>-9454000.1424566507</v>
      </c>
      <c r="J28" s="330">
        <f t="shared" si="6"/>
        <v>-0.11600203041356569</v>
      </c>
      <c r="K28" s="735">
        <f t="shared" si="7"/>
        <v>488991448.27473986</v>
      </c>
    </row>
    <row r="29" spans="1:11" ht="12.75" customHeight="1" x14ac:dyDescent="0.25">
      <c r="A29" s="39" t="str">
        <f>'C4-FinPerf RE'!A29</f>
        <v>Finance charges</v>
      </c>
      <c r="B29" s="171"/>
      <c r="C29" s="748"/>
      <c r="D29" s="745">
        <v>31793212.220000003</v>
      </c>
      <c r="E29" s="733"/>
      <c r="F29" s="733">
        <v>4048460.95</v>
      </c>
      <c r="G29" s="733">
        <v>7289617.3300000001</v>
      </c>
      <c r="H29" s="733">
        <f t="shared" si="4"/>
        <v>5298868.7033333341</v>
      </c>
      <c r="I29" s="44">
        <f t="shared" si="5"/>
        <v>1990748.626666666</v>
      </c>
      <c r="J29" s="330">
        <f t="shared" si="6"/>
        <v>0.37569314095560724</v>
      </c>
      <c r="K29" s="735">
        <f t="shared" si="7"/>
        <v>31793212.220000003</v>
      </c>
    </row>
    <row r="30" spans="1:11" ht="12.75" customHeight="1" x14ac:dyDescent="0.25">
      <c r="A30" s="39" t="str">
        <f>'C4-FinPerf RE'!A30</f>
        <v>Bulk purchases</v>
      </c>
      <c r="B30" s="171"/>
      <c r="C30" s="748"/>
      <c r="D30" s="745">
        <v>2608224084.5041752</v>
      </c>
      <c r="E30" s="733"/>
      <c r="F30" s="733">
        <v>347364533.38</v>
      </c>
      <c r="G30" s="733">
        <v>347364533.38</v>
      </c>
      <c r="H30" s="733">
        <f t="shared" si="4"/>
        <v>434704014.0840292</v>
      </c>
      <c r="I30" s="44">
        <f t="shared" si="5"/>
        <v>-87339480.704029202</v>
      </c>
      <c r="J30" s="330">
        <f t="shared" si="6"/>
        <v>-0.20091712492709188</v>
      </c>
      <c r="K30" s="735">
        <f t="shared" si="7"/>
        <v>2608224084.5041752</v>
      </c>
    </row>
    <row r="31" spans="1:11" ht="12.75" customHeight="1" x14ac:dyDescent="0.25">
      <c r="A31" s="39" t="str">
        <f>'C4-FinPerf RE'!A31</f>
        <v>Other materials</v>
      </c>
      <c r="B31" s="171"/>
      <c r="C31" s="748"/>
      <c r="D31" s="745">
        <v>46574816.042614385</v>
      </c>
      <c r="E31" s="733"/>
      <c r="F31" s="733">
        <v>1379189.62</v>
      </c>
      <c r="G31" s="733">
        <v>1501857.3599999999</v>
      </c>
      <c r="H31" s="733">
        <f t="shared" si="4"/>
        <v>7762469.3404357312</v>
      </c>
      <c r="I31" s="44">
        <f t="shared" si="5"/>
        <v>-6260611.9804357309</v>
      </c>
      <c r="J31" s="330">
        <f t="shared" si="6"/>
        <v>-0.80652324741862402</v>
      </c>
      <c r="K31" s="735">
        <f t="shared" si="7"/>
        <v>46574816.042614385</v>
      </c>
    </row>
    <row r="32" spans="1:11" ht="12.75" customHeight="1" x14ac:dyDescent="0.25">
      <c r="A32" s="39" t="str">
        <f>'C4-FinPerf RE'!A32</f>
        <v>Contracted services</v>
      </c>
      <c r="B32" s="171"/>
      <c r="C32" s="748"/>
      <c r="D32" s="745">
        <v>463787100.72254992</v>
      </c>
      <c r="E32" s="733"/>
      <c r="F32" s="733">
        <v>49200562.779999979</v>
      </c>
      <c r="G32" s="733">
        <v>47784396.730000027</v>
      </c>
      <c r="H32" s="733">
        <f t="shared" si="4"/>
        <v>77297850.120424986</v>
      </c>
      <c r="I32" s="44">
        <f t="shared" si="5"/>
        <v>-29513453.390424959</v>
      </c>
      <c r="J32" s="330">
        <f t="shared" si="6"/>
        <v>-0.38181467329873903</v>
      </c>
      <c r="K32" s="735">
        <f t="shared" si="7"/>
        <v>463787100.72254992</v>
      </c>
    </row>
    <row r="33" spans="1:11" ht="12.75" customHeight="1" x14ac:dyDescent="0.25">
      <c r="A33" s="39" t="str">
        <f>'C4-FinPerf RE'!A33</f>
        <v>Transfers and subsidies</v>
      </c>
      <c r="B33" s="171"/>
      <c r="C33" s="748"/>
      <c r="D33" s="745">
        <v>25080461.44304001</v>
      </c>
      <c r="E33" s="733"/>
      <c r="F33" s="733">
        <v>2579539.3899999997</v>
      </c>
      <c r="G33" s="733">
        <v>5179043.8899999987</v>
      </c>
      <c r="H33" s="733">
        <f t="shared" si="4"/>
        <v>4180076.9071733351</v>
      </c>
      <c r="I33" s="44">
        <f t="shared" si="5"/>
        <v>998966.98282666365</v>
      </c>
      <c r="J33" s="330">
        <f t="shared" si="6"/>
        <v>0.23898291945594569</v>
      </c>
      <c r="K33" s="735">
        <f t="shared" si="7"/>
        <v>25080461.44304001</v>
      </c>
    </row>
    <row r="34" spans="1:11" ht="12.75" customHeight="1" x14ac:dyDescent="0.25">
      <c r="A34" s="39" t="str">
        <f>'C4-FinPerf RE'!A34</f>
        <v>Other expenditure</v>
      </c>
      <c r="B34" s="171"/>
      <c r="C34" s="748"/>
      <c r="D34" s="745">
        <v>192585810.36394995</v>
      </c>
      <c r="E34" s="733"/>
      <c r="F34" s="733">
        <v>25477187.109999985</v>
      </c>
      <c r="G34" s="733">
        <v>30543241.389999963</v>
      </c>
      <c r="H34" s="733">
        <f t="shared" si="4"/>
        <v>32097635.060658325</v>
      </c>
      <c r="I34" s="44">
        <f t="shared" si="5"/>
        <v>-1554393.6706583612</v>
      </c>
      <c r="J34" s="330">
        <f t="shared" si="6"/>
        <v>-4.8427046656891001E-2</v>
      </c>
      <c r="K34" s="735">
        <f t="shared" si="7"/>
        <v>192585810.36394995</v>
      </c>
    </row>
    <row r="35" spans="1:11" ht="12.75" customHeight="1" x14ac:dyDescent="0.25">
      <c r="A35" s="39" t="str">
        <f>'C4-FinPerf RE'!A35</f>
        <v>Losses</v>
      </c>
      <c r="B35" s="169"/>
      <c r="C35" s="748"/>
      <c r="D35" s="745">
        <v>0</v>
      </c>
      <c r="E35" s="733"/>
      <c r="F35" s="733"/>
      <c r="G35" s="733"/>
      <c r="H35" s="733"/>
      <c r="I35" s="44">
        <f t="shared" si="5"/>
        <v>0</v>
      </c>
      <c r="J35" s="330" t="str">
        <f t="shared" si="6"/>
        <v/>
      </c>
      <c r="K35" s="735"/>
    </row>
    <row r="36" spans="1:11" ht="12.75" customHeight="1" x14ac:dyDescent="0.25">
      <c r="A36" s="350" t="s">
        <v>488</v>
      </c>
      <c r="B36" s="569"/>
      <c r="C36" s="243">
        <f t="shared" ref="C36:H36" si="8">SUM(C25:C35)</f>
        <v>0</v>
      </c>
      <c r="D36" s="74">
        <f t="shared" si="8"/>
        <v>5501964562.0327282</v>
      </c>
      <c r="E36" s="73">
        <f t="shared" si="8"/>
        <v>0</v>
      </c>
      <c r="F36" s="73">
        <f t="shared" si="8"/>
        <v>580274929.23000014</v>
      </c>
      <c r="G36" s="73">
        <f t="shared" si="8"/>
        <v>734363606.2700001</v>
      </c>
      <c r="H36" s="73">
        <f t="shared" si="8"/>
        <v>916994093.67212152</v>
      </c>
      <c r="I36" s="73">
        <f t="shared" si="5"/>
        <v>-182630487.40212142</v>
      </c>
      <c r="J36" s="331">
        <f t="shared" si="6"/>
        <v>-0.19916211964983757</v>
      </c>
      <c r="K36" s="145">
        <f>SUM(K25:K35)</f>
        <v>5501964562.0327282</v>
      </c>
    </row>
    <row r="37" spans="1:11" ht="5.0999999999999996" customHeight="1" x14ac:dyDescent="0.25">
      <c r="A37" s="42"/>
      <c r="B37" s="169"/>
      <c r="C37" s="134"/>
      <c r="D37" s="46"/>
      <c r="E37" s="44"/>
      <c r="F37" s="44"/>
      <c r="G37" s="44"/>
      <c r="H37" s="44"/>
      <c r="I37" s="44">
        <f t="shared" si="5"/>
        <v>0</v>
      </c>
      <c r="J37" s="330"/>
      <c r="K37" s="144"/>
    </row>
    <row r="38" spans="1:11" ht="12.75" customHeight="1" x14ac:dyDescent="0.25">
      <c r="A38" s="87" t="str">
        <f>'C4-FinPerf RE'!A38</f>
        <v>Surplus/(Deficit)</v>
      </c>
      <c r="B38" s="169"/>
      <c r="C38" s="134">
        <f t="shared" ref="C38:H38" si="9">C22-C36</f>
        <v>0</v>
      </c>
      <c r="D38" s="46">
        <f t="shared" si="9"/>
        <v>415845695.83933353</v>
      </c>
      <c r="E38" s="44">
        <f t="shared" si="9"/>
        <v>0</v>
      </c>
      <c r="F38" s="44">
        <f t="shared" si="9"/>
        <v>103625927.49999988</v>
      </c>
      <c r="G38" s="44">
        <f t="shared" si="9"/>
        <v>367694748.48999965</v>
      </c>
      <c r="H38" s="44">
        <f t="shared" si="9"/>
        <v>69307615.973222017</v>
      </c>
      <c r="I38" s="44">
        <f t="shared" si="5"/>
        <v>298387132.51677763</v>
      </c>
      <c r="J38" s="330">
        <f t="shared" si="6"/>
        <v>4.3052574861623247</v>
      </c>
      <c r="K38" s="144">
        <f>K22-K36</f>
        <v>415845695.83933353</v>
      </c>
    </row>
    <row r="39" spans="1:11" ht="21.6" customHeight="1" x14ac:dyDescent="0.25">
      <c r="A39" s="111" t="str">
        <f>'C4-FinPerf RE'!A39</f>
        <v>Transfers and subsidies - capital (monetary allocations) (National / Provincial and District)</v>
      </c>
      <c r="B39" s="169"/>
      <c r="C39" s="748"/>
      <c r="D39" s="745">
        <v>525891580.99999982</v>
      </c>
      <c r="E39" s="733"/>
      <c r="F39" s="733">
        <v>27157760.050000004</v>
      </c>
      <c r="G39" s="733">
        <v>28148168.810000002</v>
      </c>
      <c r="H39" s="733">
        <f>D39/12*2</f>
        <v>87648596.833333299</v>
      </c>
      <c r="I39" s="44">
        <f t="shared" si="5"/>
        <v>-59500428.023333296</v>
      </c>
      <c r="J39" s="330">
        <f t="shared" si="6"/>
        <v>-0.67885203155591101</v>
      </c>
      <c r="K39" s="735">
        <f>D39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ht="25.5" x14ac:dyDescent="0.25">
      <c r="A42" s="570" t="str">
        <f>'C4-FinPerf RE'!A42</f>
        <v>Surplus/(Deficit) after capital transfers &amp; contributions</v>
      </c>
      <c r="B42" s="309"/>
      <c r="C42" s="571">
        <f>C38+SUM(C39:C41)</f>
        <v>0</v>
      </c>
      <c r="D42" s="572">
        <f t="shared" ref="D42:K42" si="10">D38+SUM(D39:D41)</f>
        <v>941737276.8393333</v>
      </c>
      <c r="E42" s="514">
        <f t="shared" si="10"/>
        <v>0</v>
      </c>
      <c r="F42" s="514">
        <f t="shared" si="10"/>
        <v>130783687.54999989</v>
      </c>
      <c r="G42" s="514">
        <f t="shared" si="10"/>
        <v>395842917.29999965</v>
      </c>
      <c r="H42" s="514">
        <f t="shared" si="10"/>
        <v>156956212.80655533</v>
      </c>
      <c r="I42" s="514">
        <f t="shared" si="5"/>
        <v>238886704.49344432</v>
      </c>
      <c r="J42" s="515">
        <f t="shared" si="6"/>
        <v>1.5219958498098212</v>
      </c>
      <c r="K42" s="573">
        <f t="shared" si="10"/>
        <v>941737276.8393333</v>
      </c>
    </row>
    <row r="43" spans="1:11" ht="12.75" customHeight="1" x14ac:dyDescent="0.25">
      <c r="A43" s="111" t="str">
        <f>'C4-FinPerf RE'!A43</f>
        <v>Taxation</v>
      </c>
      <c r="B43" s="169"/>
      <c r="C43" s="748"/>
      <c r="D43" s="745"/>
      <c r="E43" s="733"/>
      <c r="F43" s="733"/>
      <c r="G43" s="733"/>
      <c r="H43" s="733"/>
      <c r="I43" s="44">
        <f t="shared" si="5"/>
        <v>0</v>
      </c>
      <c r="J43" s="330" t="str">
        <f t="shared" si="6"/>
        <v/>
      </c>
      <c r="K43" s="735"/>
    </row>
    <row r="44" spans="1:11" ht="12.75" customHeight="1" x14ac:dyDescent="0.25">
      <c r="A44" s="53" t="str">
        <f>'C4-FinPerf RE'!A44</f>
        <v>Surplus/(Deficit) after taxation</v>
      </c>
      <c r="B44" s="236"/>
      <c r="C44" s="112">
        <f t="shared" ref="C44:H44" si="11">C42-C43</f>
        <v>0</v>
      </c>
      <c r="D44" s="56">
        <f t="shared" si="11"/>
        <v>941737276.8393333</v>
      </c>
      <c r="E44" s="55">
        <f t="shared" si="11"/>
        <v>0</v>
      </c>
      <c r="F44" s="55">
        <f t="shared" si="11"/>
        <v>130783687.54999989</v>
      </c>
      <c r="G44" s="55">
        <f t="shared" si="11"/>
        <v>395842917.29999965</v>
      </c>
      <c r="H44" s="55">
        <f t="shared" si="11"/>
        <v>156956212.80655533</v>
      </c>
      <c r="I44" s="55">
        <f t="shared" si="5"/>
        <v>238886704.49344432</v>
      </c>
      <c r="J44" s="332">
        <f t="shared" si="6"/>
        <v>1.5219958498098212</v>
      </c>
      <c r="K44" s="235">
        <f>K42-K43</f>
        <v>941737276.8393333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"&amp;S71Q&amp; " - "&amp;Head57</f>
        <v>KZN225 Msunduzi - Supporting Table SC11 Monthly Budget Statement - summary of municipal entities - M02 August</v>
      </c>
      <c r="B1" s="1053"/>
      <c r="C1" s="1053"/>
      <c r="D1" s="1053"/>
      <c r="E1" s="1053"/>
      <c r="F1" s="1053"/>
      <c r="G1" s="1053"/>
      <c r="H1" s="1053"/>
      <c r="I1" s="1053"/>
      <c r="J1" s="1053"/>
      <c r="K1" s="1053"/>
    </row>
    <row r="2" spans="1:11" x14ac:dyDescent="0.25">
      <c r="A2" s="1042" t="str">
        <f>desc</f>
        <v>Description</v>
      </c>
      <c r="B2" s="1035" t="str">
        <f>head27</f>
        <v>Ref</v>
      </c>
      <c r="C2" s="158" t="str">
        <f>Head1</f>
        <v>2019/20</v>
      </c>
      <c r="D2" s="1037" t="str">
        <f>Head2</f>
        <v>Budget Year 2020/21</v>
      </c>
      <c r="E2" s="1038"/>
      <c r="F2" s="1038"/>
      <c r="G2" s="1038"/>
      <c r="H2" s="1038"/>
      <c r="I2" s="1038"/>
      <c r="J2" s="1038"/>
      <c r="K2" s="1039"/>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7" sqref="E7"/>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3" t="str">
        <f>muni&amp; " - "&amp;S71R&amp; " - "&amp;Head57</f>
        <v>KZN225 Msunduzi - Supporting Table SC12 Consolidated Monthly Budget Statement - capital expenditure trend  - M02 August</v>
      </c>
      <c r="B1" s="1053"/>
      <c r="C1" s="1053"/>
      <c r="D1" s="1053"/>
      <c r="E1" s="1053"/>
      <c r="F1" s="1053"/>
      <c r="G1" s="1053"/>
      <c r="H1" s="1053"/>
      <c r="I1" s="1053"/>
      <c r="J1" s="1053"/>
    </row>
    <row r="2" spans="1:10" x14ac:dyDescent="0.25">
      <c r="A2" s="1042" t="s">
        <v>887</v>
      </c>
      <c r="B2" s="139" t="str">
        <f>Head1</f>
        <v>2019/20</v>
      </c>
      <c r="C2" s="1037" t="str">
        <f>Head2</f>
        <v>Budget Year 2020/21</v>
      </c>
      <c r="D2" s="1038"/>
      <c r="E2" s="1038"/>
      <c r="F2" s="1038"/>
      <c r="G2" s="1038"/>
      <c r="H2" s="1038"/>
      <c r="I2" s="1038"/>
      <c r="J2" s="1039"/>
    </row>
    <row r="3" spans="1:10" ht="38.25" x14ac:dyDescent="0.25">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c r="C8" s="753">
        <v>48407631.75</v>
      </c>
      <c r="D8" s="733"/>
      <c r="E8" s="733"/>
      <c r="F8" s="408" t="str">
        <f t="shared" ref="F8:F17" si="3">IF(E8&gt;0,E8+F7,"")</f>
        <v/>
      </c>
      <c r="G8" s="408">
        <f>IF(D8&gt;0,D8+G7,C8+G7)</f>
        <v>145222895.25</v>
      </c>
      <c r="H8" s="44">
        <f t="shared" si="0"/>
        <v>0</v>
      </c>
      <c r="I8" s="124" t="str">
        <f t="shared" si="1"/>
        <v/>
      </c>
      <c r="J8" s="674" t="str">
        <f t="shared" si="2"/>
        <v/>
      </c>
    </row>
    <row r="9" spans="1:10" ht="12.75" customHeight="1" x14ac:dyDescent="0.25">
      <c r="A9" s="39" t="s">
        <v>906</v>
      </c>
      <c r="B9" s="748"/>
      <c r="C9" s="753">
        <v>48407631.75</v>
      </c>
      <c r="D9" s="733"/>
      <c r="E9" s="733"/>
      <c r="F9" s="408" t="str">
        <f t="shared" si="3"/>
        <v/>
      </c>
      <c r="G9" s="408">
        <f t="shared" ref="G9:G17" si="4">IF(D9&gt;0,D9+G8,C9+G8)</f>
        <v>193630527</v>
      </c>
      <c r="H9" s="44">
        <f t="shared" si="0"/>
        <v>0</v>
      </c>
      <c r="I9" s="124" t="str">
        <f t="shared" si="1"/>
        <v/>
      </c>
      <c r="J9" s="674" t="str">
        <f t="shared" si="2"/>
        <v/>
      </c>
    </row>
    <row r="10" spans="1:10" ht="12.75" customHeight="1" x14ac:dyDescent="0.25">
      <c r="A10" s="39" t="s">
        <v>907</v>
      </c>
      <c r="B10" s="748"/>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5">
      <c r="A11" s="39" t="s">
        <v>908</v>
      </c>
      <c r="B11" s="748"/>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0</v>
      </c>
      <c r="C18" s="265">
        <f>SUM(C6:C17)</f>
        <v>580891581</v>
      </c>
      <c r="D18" s="76">
        <f>SUM(D6:D17)</f>
        <v>0</v>
      </c>
      <c r="E18" s="76">
        <f>SUM(E6:E17)</f>
        <v>29230008.59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M02 August</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6" t="s">
        <v>794</v>
      </c>
      <c r="B76" s="1007"/>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1" activePane="bottomRight" state="frozen"/>
      <selection pane="topRight"/>
      <selection pane="bottomLeft"/>
      <selection pane="bottomRight" activeCell="E80" sqref="E80"/>
    </sheetView>
  </sheetViews>
  <sheetFormatPr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"&amp;S71Sa&amp; " - "&amp;Head57</f>
        <v>KZN225 Msunduzi - Supporting Table SC13a Consolidated Monthly Budget Statement - capital expenditure on new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0</v>
      </c>
      <c r="G7" s="102">
        <f t="shared" si="0"/>
        <v>0</v>
      </c>
      <c r="H7" s="102">
        <f t="shared" si="0"/>
        <v>32169680.719728</v>
      </c>
      <c r="I7" s="101">
        <f t="shared" ref="I7:I37" si="1">H7-G7</f>
        <v>32169680.719728</v>
      </c>
      <c r="J7" s="579">
        <f t="shared" ref="J7:J37" si="2">IF(I7=0,"",I7/H7)</f>
        <v>1</v>
      </c>
      <c r="K7" s="603">
        <f>K8+K13+K17+K27+K38+K45+K53+K63+K69</f>
        <v>193018084.31836799</v>
      </c>
    </row>
    <row r="8" spans="1:11" ht="12.75" customHeight="1" x14ac:dyDescent="0.25">
      <c r="A8" s="518" t="s">
        <v>1216</v>
      </c>
      <c r="B8" s="169"/>
      <c r="C8" s="677">
        <f t="shared" ref="C8:H8" si="3">SUM(C9:C12)</f>
        <v>0</v>
      </c>
      <c r="D8" s="609">
        <f t="shared" si="3"/>
        <v>10845780.900911285</v>
      </c>
      <c r="E8" s="608">
        <f t="shared" si="3"/>
        <v>0</v>
      </c>
      <c r="F8" s="608">
        <f t="shared" si="3"/>
        <v>0</v>
      </c>
      <c r="G8" s="608">
        <f t="shared" si="3"/>
        <v>0</v>
      </c>
      <c r="H8" s="608">
        <f t="shared" si="3"/>
        <v>1807630.1501518807</v>
      </c>
      <c r="I8" s="258">
        <f t="shared" si="1"/>
        <v>1807630.1501518807</v>
      </c>
      <c r="J8" s="575">
        <f t="shared" si="2"/>
        <v>1</v>
      </c>
      <c r="K8" s="610">
        <f>SUM(K9:K12)</f>
        <v>10845780.900911285</v>
      </c>
    </row>
    <row r="9" spans="1:11" ht="12.75" customHeight="1" x14ac:dyDescent="0.25">
      <c r="A9" s="574" t="s">
        <v>168</v>
      </c>
      <c r="B9" s="169"/>
      <c r="C9" s="748"/>
      <c r="D9" s="745">
        <v>10845780.900911285</v>
      </c>
      <c r="E9" s="733"/>
      <c r="F9" s="733"/>
      <c r="G9" s="733"/>
      <c r="H9" s="733">
        <f>D9/12*2</f>
        <v>1807630.1501518807</v>
      </c>
      <c r="I9" s="258">
        <f t="shared" si="1"/>
        <v>1807630.1501518807</v>
      </c>
      <c r="J9" s="575">
        <f t="shared" si="2"/>
        <v>1</v>
      </c>
      <c r="K9" s="735">
        <f>D9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22275284.108370338</v>
      </c>
      <c r="I17" s="258">
        <f t="shared" si="1"/>
        <v>22275284.108370338</v>
      </c>
      <c r="J17" s="575">
        <f t="shared" si="2"/>
        <v>1</v>
      </c>
      <c r="K17" s="642">
        <f>SUM(K18:K26)</f>
        <v>133651704.65022203</v>
      </c>
    </row>
    <row r="18" spans="1:11" ht="12.75" customHeight="1" x14ac:dyDescent="0.25">
      <c r="A18" s="574" t="s">
        <v>1225</v>
      </c>
      <c r="B18" s="169"/>
      <c r="C18" s="748"/>
      <c r="D18" s="745">
        <v>133651704.65022203</v>
      </c>
      <c r="E18" s="733"/>
      <c r="F18" s="733"/>
      <c r="G18" s="733"/>
      <c r="H18" s="733">
        <f>D18/12*2</f>
        <v>22275284.108370338</v>
      </c>
      <c r="I18" s="258">
        <f t="shared" si="1"/>
        <v>22275284.108370338</v>
      </c>
      <c r="J18" s="575">
        <f t="shared" si="2"/>
        <v>1</v>
      </c>
      <c r="K18" s="735">
        <f>D18</f>
        <v>133651704.65022203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0</v>
      </c>
      <c r="H38" s="408">
        <f t="shared" si="7"/>
        <v>8086766.4612057814</v>
      </c>
      <c r="I38" s="258">
        <f t="shared" ref="I38:I44" si="8">H38-G38</f>
        <v>8086766.4612057814</v>
      </c>
      <c r="J38" s="575">
        <f t="shared" ref="J38:J44" si="9">IF(I38=0,"",I38/H38)</f>
        <v>1</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c r="F40" s="733"/>
      <c r="G40" s="733"/>
      <c r="H40" s="733">
        <f>D40/12*2</f>
        <v>8086766.4612057814</v>
      </c>
      <c r="I40" s="258">
        <f>H40-G40</f>
        <v>8086766.4612057814</v>
      </c>
      <c r="J40" s="575">
        <f>IF(I40=0,"",I40/H40)</f>
        <v>1</v>
      </c>
      <c r="K40" s="735">
        <f>D40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0</v>
      </c>
      <c r="F75" s="578">
        <f t="shared" si="17"/>
        <v>284090.28000000003</v>
      </c>
      <c r="G75" s="578">
        <f t="shared" si="17"/>
        <v>284090.28000000003</v>
      </c>
      <c r="H75" s="578">
        <f t="shared" si="17"/>
        <v>6593018.6122742174</v>
      </c>
      <c r="I75" s="578">
        <f>H75-G75</f>
        <v>6308928.3322742172</v>
      </c>
      <c r="J75" s="579">
        <f t="shared" si="16"/>
        <v>0.9569104386462508</v>
      </c>
      <c r="K75" s="580">
        <f>+K76+K99</f>
        <v>39558111.673645303</v>
      </c>
    </row>
    <row r="76" spans="1:11" ht="12.75" customHeight="1" x14ac:dyDescent="0.25">
      <c r="A76" s="518" t="s">
        <v>1268</v>
      </c>
      <c r="B76" s="169"/>
      <c r="C76" s="648">
        <f t="shared" ref="C76:H76" si="18">SUM(C77:C98)</f>
        <v>0</v>
      </c>
      <c r="D76" s="649">
        <f t="shared" si="18"/>
        <v>39558111.673645303</v>
      </c>
      <c r="E76" s="408">
        <f t="shared" si="18"/>
        <v>0</v>
      </c>
      <c r="F76" s="408">
        <f t="shared" si="18"/>
        <v>284090.28000000003</v>
      </c>
      <c r="G76" s="408">
        <f>SUM(G77:G98)</f>
        <v>284090.28000000003</v>
      </c>
      <c r="H76" s="408">
        <f t="shared" si="18"/>
        <v>6593018.6122742174</v>
      </c>
      <c r="I76" s="258">
        <f t="shared" ref="I76:I87" si="19">H76-G76</f>
        <v>6308928.3322742172</v>
      </c>
      <c r="J76" s="575">
        <f t="shared" ref="J76:J87" si="20">IF(I76=0,"",I76/H76)</f>
        <v>0.9569104386462508</v>
      </c>
      <c r="K76" s="642">
        <f>SUM(K77:K98)</f>
        <v>39558111.673645303</v>
      </c>
    </row>
    <row r="77" spans="1:11" ht="12.75" customHeight="1" x14ac:dyDescent="0.25">
      <c r="A77" s="574" t="s">
        <v>1269</v>
      </c>
      <c r="B77" s="169"/>
      <c r="C77" s="748"/>
      <c r="D77" s="753">
        <v>37464350.795641594</v>
      </c>
      <c r="E77" s="748"/>
      <c r="F77" s="733">
        <v>284090.28000000003</v>
      </c>
      <c r="G77" s="733">
        <v>284090.28000000003</v>
      </c>
      <c r="H77" s="733">
        <f>D77/12*2</f>
        <v>6244058.4659402659</v>
      </c>
      <c r="I77" s="44" t="e">
        <f>H77-#REF!</f>
        <v>#REF!</v>
      </c>
      <c r="J77" s="124" t="e">
        <f t="shared" si="20"/>
        <v>#REF!</v>
      </c>
      <c r="K77" s="735">
        <f>D77</f>
        <v>37464350.795641594</v>
      </c>
    </row>
    <row r="78" spans="1:11" ht="12.75" customHeight="1" x14ac:dyDescent="0.25">
      <c r="A78" s="574" t="s">
        <v>1270</v>
      </c>
      <c r="B78" s="169"/>
      <c r="C78" s="748"/>
      <c r="D78" s="753"/>
      <c r="E78" s="733"/>
      <c r="F78" s="733"/>
      <c r="G78" s="733"/>
      <c r="H78" s="733">
        <f t="shared" ref="H78:H83" si="21">D78/12</f>
        <v>0</v>
      </c>
      <c r="I78" s="44">
        <f t="shared" si="19"/>
        <v>0</v>
      </c>
      <c r="J78" s="124" t="str">
        <f t="shared" si="20"/>
        <v/>
      </c>
      <c r="K78" s="735">
        <v>0</v>
      </c>
    </row>
    <row r="79" spans="1:11" ht="12.75" customHeight="1" x14ac:dyDescent="0.25">
      <c r="A79" s="574" t="s">
        <v>1271</v>
      </c>
      <c r="B79" s="169"/>
      <c r="C79" s="748"/>
      <c r="D79" s="753"/>
      <c r="E79" s="733"/>
      <c r="F79" s="733"/>
      <c r="G79" s="733"/>
      <c r="H79" s="733">
        <f t="shared" si="21"/>
        <v>0</v>
      </c>
      <c r="I79" s="44">
        <f t="shared" si="19"/>
        <v>0</v>
      </c>
      <c r="J79" s="124" t="str">
        <f t="shared" si="20"/>
        <v/>
      </c>
      <c r="K79" s="735">
        <v>0</v>
      </c>
    </row>
    <row r="80" spans="1:11" ht="12.75" customHeight="1" x14ac:dyDescent="0.25">
      <c r="A80" s="574" t="s">
        <v>1272</v>
      </c>
      <c r="B80" s="169"/>
      <c r="C80" s="748"/>
      <c r="D80" s="753"/>
      <c r="E80" s="733"/>
      <c r="F80" s="733"/>
      <c r="G80" s="733"/>
      <c r="H80" s="733">
        <f t="shared" si="21"/>
        <v>0</v>
      </c>
      <c r="I80" s="44">
        <f t="shared" si="19"/>
        <v>0</v>
      </c>
      <c r="J80" s="124" t="str">
        <f t="shared" si="20"/>
        <v/>
      </c>
      <c r="K80" s="735">
        <v>0</v>
      </c>
    </row>
    <row r="81" spans="1:11" ht="12.75" customHeight="1" x14ac:dyDescent="0.25">
      <c r="A81" s="574" t="s">
        <v>1273</v>
      </c>
      <c r="B81" s="169"/>
      <c r="C81" s="748"/>
      <c r="D81" s="753"/>
      <c r="E81" s="733"/>
      <c r="F81" s="733"/>
      <c r="G81" s="733"/>
      <c r="H81" s="733">
        <f t="shared" si="21"/>
        <v>0</v>
      </c>
      <c r="I81" s="44">
        <f t="shared" si="19"/>
        <v>0</v>
      </c>
      <c r="J81" s="124" t="str">
        <f t="shared" si="20"/>
        <v/>
      </c>
      <c r="K81" s="735">
        <v>0</v>
      </c>
    </row>
    <row r="82" spans="1:11" ht="12.75" customHeight="1" x14ac:dyDescent="0.25">
      <c r="A82" s="574" t="s">
        <v>1274</v>
      </c>
      <c r="B82" s="169"/>
      <c r="C82" s="748"/>
      <c r="D82" s="753"/>
      <c r="E82" s="733"/>
      <c r="F82" s="733"/>
      <c r="G82" s="733"/>
      <c r="H82" s="733">
        <f t="shared" si="21"/>
        <v>0</v>
      </c>
      <c r="I82" s="44">
        <f t="shared" si="19"/>
        <v>0</v>
      </c>
      <c r="J82" s="124" t="str">
        <f t="shared" si="20"/>
        <v/>
      </c>
      <c r="K82" s="735">
        <v>0</v>
      </c>
    </row>
    <row r="83" spans="1:11" ht="12.75" customHeight="1" x14ac:dyDescent="0.25">
      <c r="A83" s="574" t="s">
        <v>1275</v>
      </c>
      <c r="B83" s="169"/>
      <c r="C83" s="748"/>
      <c r="D83" s="753"/>
      <c r="E83" s="733"/>
      <c r="F83" s="733"/>
      <c r="G83" s="733"/>
      <c r="H83" s="733">
        <f t="shared" si="21"/>
        <v>0</v>
      </c>
      <c r="I83" s="44">
        <f t="shared" si="19"/>
        <v>0</v>
      </c>
      <c r="J83" s="124" t="str">
        <f t="shared" si="20"/>
        <v/>
      </c>
      <c r="K83" s="735">
        <v>0</v>
      </c>
    </row>
    <row r="84" spans="1:11" ht="12.75" customHeight="1" x14ac:dyDescent="0.25">
      <c r="A84" s="574" t="s">
        <v>1276</v>
      </c>
      <c r="B84" s="169"/>
      <c r="C84" s="748"/>
      <c r="D84" s="753">
        <v>1356247.7767417443</v>
      </c>
      <c r="E84" s="733"/>
      <c r="F84" s="733"/>
      <c r="G84" s="733"/>
      <c r="H84" s="733">
        <f>D84/12*2</f>
        <v>226041.29612362405</v>
      </c>
      <c r="I84" s="44">
        <f t="shared" si="19"/>
        <v>226041.29612362405</v>
      </c>
      <c r="J84" s="124">
        <f t="shared" si="20"/>
        <v>1</v>
      </c>
      <c r="K84" s="735">
        <f>D84</f>
        <v>1356247.7767417443</v>
      </c>
    </row>
    <row r="85" spans="1:11" ht="12.75" customHeight="1" x14ac:dyDescent="0.25">
      <c r="A85" s="574" t="s">
        <v>1152</v>
      </c>
      <c r="B85" s="169"/>
      <c r="C85" s="748"/>
      <c r="D85" s="753"/>
      <c r="E85" s="733"/>
      <c r="F85" s="733"/>
      <c r="G85" s="733"/>
      <c r="H85" s="733">
        <f>D85/12</f>
        <v>0</v>
      </c>
      <c r="I85" s="44">
        <f t="shared" si="19"/>
        <v>0</v>
      </c>
      <c r="J85" s="124" t="str">
        <f t="shared" si="20"/>
        <v/>
      </c>
      <c r="K85" s="735">
        <v>0</v>
      </c>
    </row>
    <row r="86" spans="1:11" ht="12.75" customHeight="1" x14ac:dyDescent="0.25">
      <c r="A86" s="574" t="s">
        <v>553</v>
      </c>
      <c r="B86" s="169"/>
      <c r="C86" s="748"/>
      <c r="D86" s="753"/>
      <c r="E86" s="733"/>
      <c r="F86" s="733"/>
      <c r="G86" s="733"/>
      <c r="H86" s="733">
        <f>D86/12</f>
        <v>0</v>
      </c>
      <c r="I86" s="44">
        <f t="shared" si="19"/>
        <v>0</v>
      </c>
      <c r="J86" s="124" t="str">
        <f t="shared" si="20"/>
        <v/>
      </c>
      <c r="K86" s="735">
        <v>0</v>
      </c>
    </row>
    <row r="87" spans="1:11" ht="12.75" customHeight="1" x14ac:dyDescent="0.25">
      <c r="A87" s="574" t="s">
        <v>1277</v>
      </c>
      <c r="B87" s="169"/>
      <c r="C87" s="748"/>
      <c r="D87" s="753"/>
      <c r="E87" s="733"/>
      <c r="F87" s="733"/>
      <c r="G87" s="733"/>
      <c r="H87" s="733">
        <f>D87/12</f>
        <v>0</v>
      </c>
      <c r="I87" s="44">
        <f t="shared" si="19"/>
        <v>0</v>
      </c>
      <c r="J87" s="124" t="str">
        <f t="shared" si="20"/>
        <v/>
      </c>
      <c r="K87" s="735">
        <v>0</v>
      </c>
    </row>
    <row r="88" spans="1:11" ht="12.75" customHeight="1" x14ac:dyDescent="0.25">
      <c r="A88" s="574" t="s">
        <v>166</v>
      </c>
      <c r="B88" s="169"/>
      <c r="C88" s="748"/>
      <c r="D88" s="753">
        <v>737513.10126196733</v>
      </c>
      <c r="E88" s="733"/>
      <c r="F88" s="733"/>
      <c r="G88" s="733"/>
      <c r="H88" s="733">
        <f>D88/12*2</f>
        <v>122918.85021032789</v>
      </c>
      <c r="I88" s="44">
        <f t="shared" ref="I88:I133" si="22">H88-G88</f>
        <v>122918.85021032789</v>
      </c>
      <c r="J88" s="124">
        <f t="shared" ref="J88:J119" si="23">IF(I88=0,"",I88/H88)</f>
        <v>1</v>
      </c>
      <c r="K88" s="735">
        <f>D88</f>
        <v>737513.10126196733</v>
      </c>
    </row>
    <row r="89" spans="1:11" ht="12.75" customHeight="1" x14ac:dyDescent="0.25">
      <c r="A89" s="574" t="s">
        <v>1278</v>
      </c>
      <c r="B89" s="169"/>
      <c r="C89" s="748"/>
      <c r="D89" s="753"/>
      <c r="E89" s="733"/>
      <c r="F89" s="733"/>
      <c r="G89" s="733"/>
      <c r="H89" s="733"/>
      <c r="I89" s="44">
        <f t="shared" si="22"/>
        <v>0</v>
      </c>
      <c r="J89" s="124" t="str">
        <f t="shared" si="23"/>
        <v/>
      </c>
      <c r="K89" s="735">
        <v>0</v>
      </c>
    </row>
    <row r="90" spans="1:11" ht="12.75" customHeight="1" x14ac:dyDescent="0.25">
      <c r="A90" s="574" t="s">
        <v>1279</v>
      </c>
      <c r="B90" s="169"/>
      <c r="C90" s="748"/>
      <c r="D90" s="753"/>
      <c r="E90" s="733"/>
      <c r="F90" s="733"/>
      <c r="G90" s="733"/>
      <c r="H90" s="733"/>
      <c r="I90" s="44">
        <f t="shared" si="22"/>
        <v>0</v>
      </c>
      <c r="J90" s="124" t="str">
        <f t="shared" si="23"/>
        <v/>
      </c>
      <c r="K90" s="735">
        <v>0</v>
      </c>
    </row>
    <row r="91" spans="1:11" ht="12.75" customHeight="1" x14ac:dyDescent="0.25">
      <c r="A91" s="574" t="s">
        <v>1280</v>
      </c>
      <c r="B91" s="169"/>
      <c r="C91" s="748"/>
      <c r="D91" s="753"/>
      <c r="E91" s="733"/>
      <c r="F91" s="733"/>
      <c r="G91" s="733"/>
      <c r="H91" s="733"/>
      <c r="I91" s="44">
        <f t="shared" si="22"/>
        <v>0</v>
      </c>
      <c r="J91" s="124" t="str">
        <f t="shared" si="23"/>
        <v/>
      </c>
      <c r="K91" s="735">
        <v>0</v>
      </c>
    </row>
    <row r="92" spans="1:11" ht="12.75" customHeight="1" x14ac:dyDescent="0.25">
      <c r="A92" s="574" t="s">
        <v>1281</v>
      </c>
      <c r="B92" s="169"/>
      <c r="C92" s="748"/>
      <c r="D92" s="753"/>
      <c r="E92" s="733"/>
      <c r="F92" s="733"/>
      <c r="G92" s="733"/>
      <c r="H92" s="733"/>
      <c r="I92" s="44">
        <f t="shared" si="22"/>
        <v>0</v>
      </c>
      <c r="J92" s="124" t="str">
        <f t="shared" si="23"/>
        <v/>
      </c>
      <c r="K92" s="735">
        <v>0</v>
      </c>
    </row>
    <row r="93" spans="1:11" ht="12.75" customHeight="1" x14ac:dyDescent="0.25">
      <c r="A93" s="574" t="s">
        <v>441</v>
      </c>
      <c r="B93" s="169"/>
      <c r="C93" s="748"/>
      <c r="D93" s="753"/>
      <c r="E93" s="733"/>
      <c r="F93" s="733"/>
      <c r="G93" s="733"/>
      <c r="H93" s="733"/>
      <c r="I93" s="44">
        <f t="shared" si="22"/>
        <v>0</v>
      </c>
      <c r="J93" s="124" t="str">
        <f t="shared" si="23"/>
        <v/>
      </c>
      <c r="K93" s="735">
        <v>0</v>
      </c>
    </row>
    <row r="94" spans="1:11" ht="12.75" customHeight="1" x14ac:dyDescent="0.25">
      <c r="A94" s="574" t="s">
        <v>1282</v>
      </c>
      <c r="B94" s="169"/>
      <c r="C94" s="748"/>
      <c r="D94" s="753"/>
      <c r="E94" s="733"/>
      <c r="F94" s="733"/>
      <c r="G94" s="733"/>
      <c r="H94" s="733"/>
      <c r="I94" s="44">
        <f t="shared" si="22"/>
        <v>0</v>
      </c>
      <c r="J94" s="124" t="str">
        <f t="shared" si="23"/>
        <v/>
      </c>
      <c r="K94" s="735">
        <v>0</v>
      </c>
    </row>
    <row r="95" spans="1:11" ht="12.75" customHeight="1" x14ac:dyDescent="0.25">
      <c r="A95" s="574" t="s">
        <v>440</v>
      </c>
      <c r="B95" s="169"/>
      <c r="C95" s="748"/>
      <c r="D95" s="753"/>
      <c r="E95" s="733"/>
      <c r="F95" s="733"/>
      <c r="G95" s="733"/>
      <c r="H95" s="733"/>
      <c r="I95" s="44">
        <f t="shared" si="22"/>
        <v>0</v>
      </c>
      <c r="J95" s="124" t="str">
        <f t="shared" si="23"/>
        <v/>
      </c>
      <c r="K95" s="735">
        <v>0</v>
      </c>
    </row>
    <row r="96" spans="1:11" ht="12.75" customHeight="1" x14ac:dyDescent="0.25">
      <c r="A96" s="574" t="s">
        <v>1283</v>
      </c>
      <c r="B96" s="169"/>
      <c r="C96" s="748"/>
      <c r="D96" s="753"/>
      <c r="E96" s="733"/>
      <c r="F96" s="733"/>
      <c r="G96" s="733"/>
      <c r="H96" s="733"/>
      <c r="I96" s="44">
        <f t="shared" si="22"/>
        <v>0</v>
      </c>
      <c r="J96" s="124" t="str">
        <f t="shared" si="23"/>
        <v/>
      </c>
      <c r="K96" s="735">
        <v>0</v>
      </c>
    </row>
    <row r="97" spans="1:11" ht="12.75" customHeight="1" x14ac:dyDescent="0.25">
      <c r="A97" s="574" t="s">
        <v>1284</v>
      </c>
      <c r="B97" s="169"/>
      <c r="C97" s="748"/>
      <c r="D97" s="753"/>
      <c r="E97" s="733"/>
      <c r="F97" s="733"/>
      <c r="G97" s="733"/>
      <c r="H97" s="733"/>
      <c r="I97" s="44">
        <f t="shared" si="22"/>
        <v>0</v>
      </c>
      <c r="J97" s="124" t="str">
        <f t="shared" si="23"/>
        <v/>
      </c>
      <c r="K97" s="735">
        <v>0</v>
      </c>
    </row>
    <row r="98" spans="1:11" ht="12.75" customHeight="1" x14ac:dyDescent="0.25">
      <c r="A98" s="574" t="s">
        <v>1219</v>
      </c>
      <c r="B98" s="169"/>
      <c r="C98" s="748"/>
      <c r="D98" s="753"/>
      <c r="E98" s="733"/>
      <c r="F98" s="733"/>
      <c r="G98" s="733"/>
      <c r="H98" s="733"/>
      <c r="I98" s="44">
        <f t="shared" si="22"/>
        <v>0</v>
      </c>
      <c r="J98" s="124" t="str">
        <f t="shared" si="23"/>
        <v/>
      </c>
      <c r="K98" s="735">
        <v>0</v>
      </c>
    </row>
    <row r="99" spans="1:11" ht="12.75" customHeight="1" x14ac:dyDescent="0.25">
      <c r="A99" s="518" t="s">
        <v>1285</v>
      </c>
      <c r="B99" s="169"/>
      <c r="C99" s="648">
        <f t="shared" ref="C99:H99" si="24">SUM(C100:C102)</f>
        <v>0</v>
      </c>
      <c r="D99" s="649">
        <f t="shared" si="24"/>
        <v>0</v>
      </c>
      <c r="E99" s="408">
        <f t="shared" si="24"/>
        <v>0</v>
      </c>
      <c r="F99" s="408">
        <f t="shared" si="24"/>
        <v>0</v>
      </c>
      <c r="G99" s="408">
        <f t="shared" si="24"/>
        <v>0</v>
      </c>
      <c r="H99" s="408">
        <f t="shared" si="24"/>
        <v>0</v>
      </c>
      <c r="I99" s="258">
        <f t="shared" si="22"/>
        <v>0</v>
      </c>
      <c r="J99" s="575" t="str">
        <f t="shared" si="23"/>
        <v/>
      </c>
      <c r="K99" s="642">
        <f>SUM(K100:K102)</f>
        <v>0</v>
      </c>
    </row>
    <row r="100" spans="1:11" ht="12.75" customHeight="1" x14ac:dyDescent="0.25">
      <c r="A100" s="574" t="s">
        <v>1286</v>
      </c>
      <c r="B100" s="169"/>
      <c r="C100" s="748"/>
      <c r="D100" s="753"/>
      <c r="E100" s="733"/>
      <c r="F100" s="733"/>
      <c r="G100" s="733"/>
      <c r="H100" s="733"/>
      <c r="I100" s="44">
        <f t="shared" si="22"/>
        <v>0</v>
      </c>
      <c r="J100" s="124" t="str">
        <f t="shared" si="23"/>
        <v/>
      </c>
      <c r="K100" s="735"/>
    </row>
    <row r="101" spans="1:11" ht="12.75" customHeight="1" x14ac:dyDescent="0.25">
      <c r="A101" s="574" t="s">
        <v>1287</v>
      </c>
      <c r="B101" s="169"/>
      <c r="C101" s="748"/>
      <c r="D101" s="753"/>
      <c r="E101" s="733"/>
      <c r="F101" s="733"/>
      <c r="G101" s="733"/>
      <c r="H101" s="733"/>
      <c r="I101" s="44">
        <f t="shared" si="22"/>
        <v>0</v>
      </c>
      <c r="J101" s="124" t="str">
        <f t="shared" si="23"/>
        <v/>
      </c>
      <c r="K101" s="735"/>
    </row>
    <row r="102" spans="1:11" ht="12.75" customHeight="1" x14ac:dyDescent="0.25">
      <c r="A102" s="574" t="s">
        <v>1219</v>
      </c>
      <c r="B102" s="169"/>
      <c r="C102" s="748"/>
      <c r="D102" s="753"/>
      <c r="E102" s="733"/>
      <c r="F102" s="733"/>
      <c r="G102" s="733"/>
      <c r="H102" s="733"/>
      <c r="I102" s="44">
        <f t="shared" si="22"/>
        <v>0</v>
      </c>
      <c r="J102" s="124" t="str">
        <f t="shared" si="23"/>
        <v/>
      </c>
      <c r="K102" s="735"/>
    </row>
    <row r="103" spans="1:11" ht="12.75" customHeight="1" x14ac:dyDescent="0.25">
      <c r="A103" s="549" t="s">
        <v>670</v>
      </c>
      <c r="B103" s="169"/>
      <c r="C103" s="249">
        <f t="shared" ref="C103:H103" si="25">SUM(C104:C108)</f>
        <v>0</v>
      </c>
      <c r="D103" s="264">
        <f t="shared" si="25"/>
        <v>33918752.691165708</v>
      </c>
      <c r="E103" s="99">
        <f t="shared" si="25"/>
        <v>0</v>
      </c>
      <c r="F103" s="99">
        <f t="shared" si="25"/>
        <v>0</v>
      </c>
      <c r="G103" s="99">
        <f t="shared" si="25"/>
        <v>0</v>
      </c>
      <c r="H103" s="99">
        <f t="shared" si="25"/>
        <v>5653125.4485276183</v>
      </c>
      <c r="I103" s="99">
        <f t="shared" si="22"/>
        <v>5653125.4485276183</v>
      </c>
      <c r="J103" s="324">
        <f t="shared" si="23"/>
        <v>1</v>
      </c>
      <c r="K103" s="195">
        <f>SUM(K104:K108)</f>
        <v>33918752.691165708</v>
      </c>
    </row>
    <row r="104" spans="1:11" ht="12.75" customHeight="1" x14ac:dyDescent="0.25">
      <c r="A104" s="518" t="s">
        <v>1289</v>
      </c>
      <c r="B104" s="169"/>
      <c r="C104" s="786"/>
      <c r="D104" s="753"/>
      <c r="E104" s="733"/>
      <c r="F104" s="733"/>
      <c r="G104" s="733"/>
      <c r="H104" s="733"/>
      <c r="I104" s="44">
        <f t="shared" si="22"/>
        <v>0</v>
      </c>
      <c r="J104" s="124" t="str">
        <f t="shared" si="23"/>
        <v/>
      </c>
      <c r="K104" s="735">
        <v>0</v>
      </c>
    </row>
    <row r="105" spans="1:11" ht="12.75" customHeight="1" x14ac:dyDescent="0.25">
      <c r="A105" s="517" t="s">
        <v>1290</v>
      </c>
      <c r="B105" s="169"/>
      <c r="C105" s="786"/>
      <c r="D105" s="753"/>
      <c r="E105" s="733"/>
      <c r="F105" s="733"/>
      <c r="G105" s="733"/>
      <c r="H105" s="733"/>
      <c r="I105" s="44">
        <f t="shared" si="22"/>
        <v>0</v>
      </c>
      <c r="J105" s="124" t="str">
        <f t="shared" si="23"/>
        <v/>
      </c>
      <c r="K105" s="735">
        <v>0</v>
      </c>
    </row>
    <row r="106" spans="1:11" ht="12.75" customHeight="1" x14ac:dyDescent="0.25">
      <c r="A106" s="518" t="s">
        <v>1291</v>
      </c>
      <c r="B106" s="169"/>
      <c r="C106" s="786"/>
      <c r="D106" s="753"/>
      <c r="E106" s="733"/>
      <c r="F106" s="733"/>
      <c r="G106" s="733"/>
      <c r="H106" s="733"/>
      <c r="I106" s="44">
        <f t="shared" si="22"/>
        <v>0</v>
      </c>
      <c r="J106" s="124" t="str">
        <f t="shared" si="23"/>
        <v/>
      </c>
      <c r="K106" s="735">
        <v>0</v>
      </c>
    </row>
    <row r="107" spans="1:11" ht="12.75" customHeight="1" x14ac:dyDescent="0.25">
      <c r="A107" s="518" t="s">
        <v>1292</v>
      </c>
      <c r="B107" s="169"/>
      <c r="C107" s="786"/>
      <c r="D107" s="753"/>
      <c r="E107" s="733"/>
      <c r="F107" s="733"/>
      <c r="G107" s="733"/>
      <c r="H107" s="733"/>
      <c r="I107" s="44">
        <f t="shared" si="22"/>
        <v>0</v>
      </c>
      <c r="J107" s="124" t="str">
        <f t="shared" si="23"/>
        <v/>
      </c>
      <c r="K107" s="735">
        <v>0</v>
      </c>
    </row>
    <row r="108" spans="1:11" ht="12.75" customHeight="1" x14ac:dyDescent="0.25">
      <c r="A108" s="517" t="s">
        <v>1293</v>
      </c>
      <c r="B108" s="169"/>
      <c r="C108" s="786"/>
      <c r="D108" s="753">
        <v>33918752.691165708</v>
      </c>
      <c r="E108" s="733"/>
      <c r="F108" s="733"/>
      <c r="G108" s="733"/>
      <c r="H108" s="733">
        <f>D108/12*2</f>
        <v>5653125.4485276183</v>
      </c>
      <c r="I108" s="44">
        <f t="shared" si="22"/>
        <v>5653125.4485276183</v>
      </c>
      <c r="J108" s="124">
        <f t="shared" si="23"/>
        <v>1</v>
      </c>
      <c r="K108" s="735">
        <f>D108</f>
        <v>33918752.691165708</v>
      </c>
    </row>
    <row r="109" spans="1:11" ht="5.0999999999999996" customHeight="1" x14ac:dyDescent="0.25">
      <c r="A109" s="938"/>
      <c r="B109" s="169"/>
      <c r="C109" s="134"/>
      <c r="D109" s="258"/>
      <c r="E109" s="44"/>
      <c r="F109" s="44"/>
      <c r="G109" s="44"/>
      <c r="H109" s="44"/>
      <c r="I109" s="44">
        <f t="shared" si="22"/>
        <v>0</v>
      </c>
      <c r="J109" s="124" t="str">
        <f t="shared" si="23"/>
        <v/>
      </c>
      <c r="K109" s="144"/>
    </row>
    <row r="110" spans="1:11" ht="12.75" customHeight="1" x14ac:dyDescent="0.25">
      <c r="A110" s="939" t="s">
        <v>671</v>
      </c>
      <c r="B110" s="38"/>
      <c r="C110" s="576">
        <f t="shared" ref="C110:H110" si="26">+C111+C114</f>
        <v>0</v>
      </c>
      <c r="D110" s="577">
        <f t="shared" si="26"/>
        <v>0</v>
      </c>
      <c r="E110" s="578">
        <f t="shared" si="26"/>
        <v>0</v>
      </c>
      <c r="F110" s="578">
        <f t="shared" si="26"/>
        <v>0</v>
      </c>
      <c r="G110" s="578">
        <f t="shared" si="26"/>
        <v>0</v>
      </c>
      <c r="H110" s="578">
        <f t="shared" si="26"/>
        <v>0</v>
      </c>
      <c r="I110" s="99">
        <f t="shared" si="22"/>
        <v>0</v>
      </c>
      <c r="J110" s="324" t="str">
        <f t="shared" si="23"/>
        <v/>
      </c>
      <c r="K110" s="580">
        <f>+K111+K114</f>
        <v>0</v>
      </c>
    </row>
    <row r="111" spans="1:11" ht="12.75" customHeight="1" x14ac:dyDescent="0.25">
      <c r="A111" s="518" t="s">
        <v>1294</v>
      </c>
      <c r="B111" s="169"/>
      <c r="C111" s="648">
        <f t="shared" ref="C111:H111" si="27">SUM(C112:C113)</f>
        <v>0</v>
      </c>
      <c r="D111" s="649">
        <f t="shared" si="27"/>
        <v>0</v>
      </c>
      <c r="E111" s="408">
        <f t="shared" si="27"/>
        <v>0</v>
      </c>
      <c r="F111" s="408">
        <f t="shared" si="27"/>
        <v>0</v>
      </c>
      <c r="G111" s="408">
        <f t="shared" si="27"/>
        <v>0</v>
      </c>
      <c r="H111" s="408">
        <f t="shared" si="27"/>
        <v>0</v>
      </c>
      <c r="I111" s="258">
        <f t="shared" si="22"/>
        <v>0</v>
      </c>
      <c r="J111" s="575" t="str">
        <f t="shared" si="23"/>
        <v/>
      </c>
      <c r="K111" s="642">
        <f>SUM(K112:K113)</f>
        <v>0</v>
      </c>
    </row>
    <row r="112" spans="1:11" ht="12.75" customHeight="1" x14ac:dyDescent="0.25">
      <c r="A112" s="574" t="s">
        <v>1295</v>
      </c>
      <c r="B112" s="169"/>
      <c r="C112" s="748"/>
      <c r="D112" s="753"/>
      <c r="E112" s="733"/>
      <c r="F112" s="733"/>
      <c r="G112" s="733"/>
      <c r="H112" s="733"/>
      <c r="I112" s="44">
        <f t="shared" si="22"/>
        <v>0</v>
      </c>
      <c r="J112" s="124" t="str">
        <f t="shared" si="23"/>
        <v/>
      </c>
      <c r="K112" s="735"/>
    </row>
    <row r="113" spans="1:11" ht="12.75" customHeight="1" x14ac:dyDescent="0.25">
      <c r="A113" s="574" t="s">
        <v>1296</v>
      </c>
      <c r="B113" s="169"/>
      <c r="C113" s="748"/>
      <c r="D113" s="753"/>
      <c r="E113" s="733"/>
      <c r="F113" s="733"/>
      <c r="G113" s="733"/>
      <c r="H113" s="733"/>
      <c r="I113" s="44">
        <f t="shared" si="22"/>
        <v>0</v>
      </c>
      <c r="J113" s="124" t="str">
        <f t="shared" si="23"/>
        <v/>
      </c>
      <c r="K113" s="735"/>
    </row>
    <row r="114" spans="1:11" ht="12.75" customHeight="1" x14ac:dyDescent="0.25">
      <c r="A114" s="518" t="s">
        <v>1297</v>
      </c>
      <c r="B114" s="169"/>
      <c r="C114" s="648">
        <f t="shared" ref="C114:H114" si="28">SUM(C115:C116)</f>
        <v>0</v>
      </c>
      <c r="D114" s="649">
        <f t="shared" si="28"/>
        <v>0</v>
      </c>
      <c r="E114" s="408">
        <f t="shared" si="28"/>
        <v>0</v>
      </c>
      <c r="F114" s="408">
        <f t="shared" si="28"/>
        <v>0</v>
      </c>
      <c r="G114" s="408">
        <f t="shared" si="28"/>
        <v>0</v>
      </c>
      <c r="H114" s="408">
        <f t="shared" si="28"/>
        <v>0</v>
      </c>
      <c r="I114" s="258">
        <f t="shared" si="22"/>
        <v>0</v>
      </c>
      <c r="J114" s="575" t="str">
        <f t="shared" si="23"/>
        <v/>
      </c>
      <c r="K114" s="642">
        <f>SUM(K115:K116)</f>
        <v>0</v>
      </c>
    </row>
    <row r="115" spans="1:11" ht="12.75" customHeight="1" x14ac:dyDescent="0.25">
      <c r="A115" s="574" t="s">
        <v>1295</v>
      </c>
      <c r="B115" s="169"/>
      <c r="C115" s="748"/>
      <c r="D115" s="753"/>
      <c r="E115" s="733"/>
      <c r="F115" s="733"/>
      <c r="G115" s="733"/>
      <c r="H115" s="733"/>
      <c r="I115" s="44">
        <f t="shared" si="22"/>
        <v>0</v>
      </c>
      <c r="J115" s="124" t="str">
        <f t="shared" si="23"/>
        <v/>
      </c>
      <c r="K115" s="735"/>
    </row>
    <row r="116" spans="1:11" ht="12.75" customHeight="1" x14ac:dyDescent="0.25">
      <c r="A116" s="574" t="s">
        <v>1296</v>
      </c>
      <c r="B116" s="169"/>
      <c r="C116" s="748"/>
      <c r="D116" s="753"/>
      <c r="E116" s="733"/>
      <c r="F116" s="733"/>
      <c r="G116" s="733"/>
      <c r="H116" s="733"/>
      <c r="I116" s="44">
        <f t="shared" si="22"/>
        <v>0</v>
      </c>
      <c r="J116" s="124" t="str">
        <f t="shared" si="23"/>
        <v/>
      </c>
      <c r="K116" s="735"/>
    </row>
    <row r="117" spans="1:11" ht="12.75" customHeight="1" x14ac:dyDescent="0.25">
      <c r="A117" s="939" t="s">
        <v>672</v>
      </c>
      <c r="B117" s="169"/>
      <c r="C117" s="576">
        <f t="shared" ref="C117:H117" si="29">+C118+C130</f>
        <v>0</v>
      </c>
      <c r="D117" s="577">
        <f t="shared" si="29"/>
        <v>3800000</v>
      </c>
      <c r="E117" s="578">
        <f t="shared" si="29"/>
        <v>0</v>
      </c>
      <c r="F117" s="578">
        <f t="shared" si="29"/>
        <v>0</v>
      </c>
      <c r="G117" s="578">
        <f t="shared" si="29"/>
        <v>0</v>
      </c>
      <c r="H117" s="578">
        <f t="shared" si="29"/>
        <v>633333.33333333337</v>
      </c>
      <c r="I117" s="578">
        <f t="shared" si="22"/>
        <v>633333.33333333337</v>
      </c>
      <c r="J117" s="579">
        <f t="shared" si="23"/>
        <v>1</v>
      </c>
      <c r="K117" s="580">
        <f>+K118+K130</f>
        <v>3800000</v>
      </c>
    </row>
    <row r="118" spans="1:11" ht="12.75" customHeight="1" x14ac:dyDescent="0.25">
      <c r="A118" s="518" t="s">
        <v>1298</v>
      </c>
      <c r="B118" s="169"/>
      <c r="C118" s="648">
        <f t="shared" ref="C118:H118" si="30">SUM(C119:C129)</f>
        <v>0</v>
      </c>
      <c r="D118" s="649">
        <f t="shared" si="30"/>
        <v>3800000</v>
      </c>
      <c r="E118" s="408">
        <f t="shared" si="30"/>
        <v>0</v>
      </c>
      <c r="F118" s="408">
        <f t="shared" si="30"/>
        <v>0</v>
      </c>
      <c r="G118" s="408">
        <f t="shared" si="30"/>
        <v>0</v>
      </c>
      <c r="H118" s="408">
        <f t="shared" si="30"/>
        <v>633333.33333333337</v>
      </c>
      <c r="I118" s="258">
        <f t="shared" si="22"/>
        <v>633333.33333333337</v>
      </c>
      <c r="J118" s="575">
        <f t="shared" si="23"/>
        <v>1</v>
      </c>
      <c r="K118" s="642">
        <f>SUM(K119:K129)</f>
        <v>3800000</v>
      </c>
    </row>
    <row r="119" spans="1:11" ht="12.75" customHeight="1" x14ac:dyDescent="0.25">
      <c r="A119" s="574" t="s">
        <v>1299</v>
      </c>
      <c r="B119" s="169"/>
      <c r="C119" s="748"/>
      <c r="D119" s="753">
        <v>3800000</v>
      </c>
      <c r="E119" s="733"/>
      <c r="F119" s="733"/>
      <c r="G119" s="733"/>
      <c r="H119" s="733">
        <f>D119/12*2</f>
        <v>633333.33333333337</v>
      </c>
      <c r="I119" s="44">
        <f t="shared" si="22"/>
        <v>633333.33333333337</v>
      </c>
      <c r="J119" s="124">
        <f t="shared" si="23"/>
        <v>1</v>
      </c>
      <c r="K119" s="735">
        <f>D119</f>
        <v>3800000</v>
      </c>
    </row>
    <row r="120" spans="1:11" ht="12.75" customHeight="1" x14ac:dyDescent="0.25">
      <c r="A120" s="574" t="s">
        <v>1300</v>
      </c>
      <c r="B120" s="169"/>
      <c r="C120" s="748"/>
      <c r="D120" s="753"/>
      <c r="E120" s="733"/>
      <c r="F120" s="733"/>
      <c r="G120" s="733"/>
      <c r="H120" s="733"/>
      <c r="I120" s="44">
        <f t="shared" si="22"/>
        <v>0</v>
      </c>
      <c r="J120" s="124" t="str">
        <f t="shared" ref="J120:J146" si="31">IF(I120=0,"",I120/H120)</f>
        <v/>
      </c>
      <c r="K120" s="735"/>
    </row>
    <row r="121" spans="1:11" ht="12.75" customHeight="1" x14ac:dyDescent="0.25">
      <c r="A121" s="574" t="s">
        <v>1301</v>
      </c>
      <c r="B121" s="169"/>
      <c r="C121" s="748"/>
      <c r="D121" s="753"/>
      <c r="E121" s="733"/>
      <c r="F121" s="733"/>
      <c r="G121" s="733"/>
      <c r="H121" s="733"/>
      <c r="I121" s="44">
        <f t="shared" si="22"/>
        <v>0</v>
      </c>
      <c r="J121" s="124" t="str">
        <f t="shared" si="31"/>
        <v/>
      </c>
      <c r="K121" s="735"/>
    </row>
    <row r="122" spans="1:11" ht="12.75" customHeight="1" x14ac:dyDescent="0.25">
      <c r="A122" s="574" t="s">
        <v>1302</v>
      </c>
      <c r="B122" s="169"/>
      <c r="C122" s="748"/>
      <c r="D122" s="753"/>
      <c r="E122" s="733"/>
      <c r="F122" s="733"/>
      <c r="G122" s="733"/>
      <c r="H122" s="733"/>
      <c r="I122" s="44">
        <f t="shared" si="22"/>
        <v>0</v>
      </c>
      <c r="J122" s="124" t="str">
        <f t="shared" si="31"/>
        <v/>
      </c>
      <c r="K122" s="735"/>
    </row>
    <row r="123" spans="1:11" ht="12.75" customHeight="1" x14ac:dyDescent="0.25">
      <c r="A123" s="574" t="s">
        <v>1303</v>
      </c>
      <c r="B123" s="169"/>
      <c r="C123" s="748"/>
      <c r="D123" s="753"/>
      <c r="E123" s="733"/>
      <c r="F123" s="733"/>
      <c r="G123" s="733"/>
      <c r="H123" s="733"/>
      <c r="I123" s="44">
        <f t="shared" si="22"/>
        <v>0</v>
      </c>
      <c r="J123" s="124" t="str">
        <f t="shared" si="31"/>
        <v/>
      </c>
      <c r="K123" s="735"/>
    </row>
    <row r="124" spans="1:11" ht="12.75" customHeight="1" x14ac:dyDescent="0.25">
      <c r="A124" s="574" t="s">
        <v>1304</v>
      </c>
      <c r="B124" s="169"/>
      <c r="C124" s="748"/>
      <c r="D124" s="753"/>
      <c r="E124" s="733"/>
      <c r="F124" s="733"/>
      <c r="G124" s="733"/>
      <c r="H124" s="733"/>
      <c r="I124" s="44">
        <f t="shared" si="22"/>
        <v>0</v>
      </c>
      <c r="J124" s="124" t="str">
        <f t="shared" si="31"/>
        <v/>
      </c>
      <c r="K124" s="735"/>
    </row>
    <row r="125" spans="1:11" ht="12.75" customHeight="1" x14ac:dyDescent="0.25">
      <c r="A125" s="574" t="s">
        <v>1305</v>
      </c>
      <c r="B125" s="169"/>
      <c r="C125" s="748"/>
      <c r="D125" s="753"/>
      <c r="E125" s="733"/>
      <c r="F125" s="733"/>
      <c r="G125" s="733"/>
      <c r="H125" s="733"/>
      <c r="I125" s="44">
        <f t="shared" si="22"/>
        <v>0</v>
      </c>
      <c r="J125" s="124" t="str">
        <f t="shared" si="31"/>
        <v/>
      </c>
      <c r="K125" s="735"/>
    </row>
    <row r="126" spans="1:11" ht="12.75" customHeight="1" x14ac:dyDescent="0.25">
      <c r="A126" s="574" t="s">
        <v>1306</v>
      </c>
      <c r="B126" s="169"/>
      <c r="C126" s="748"/>
      <c r="D126" s="753"/>
      <c r="E126" s="733"/>
      <c r="F126" s="733"/>
      <c r="G126" s="733"/>
      <c r="H126" s="733"/>
      <c r="I126" s="44">
        <f t="shared" si="22"/>
        <v>0</v>
      </c>
      <c r="J126" s="124" t="str">
        <f t="shared" si="31"/>
        <v/>
      </c>
      <c r="K126" s="735"/>
    </row>
    <row r="127" spans="1:11" ht="12.75" customHeight="1" x14ac:dyDescent="0.25">
      <c r="A127" s="574" t="s">
        <v>1307</v>
      </c>
      <c r="B127" s="169"/>
      <c r="C127" s="748"/>
      <c r="D127" s="753"/>
      <c r="E127" s="733"/>
      <c r="F127" s="733"/>
      <c r="G127" s="733"/>
      <c r="H127" s="733"/>
      <c r="I127" s="44">
        <f t="shared" si="22"/>
        <v>0</v>
      </c>
      <c r="J127" s="124" t="str">
        <f t="shared" si="31"/>
        <v/>
      </c>
      <c r="K127" s="735"/>
    </row>
    <row r="128" spans="1:11" ht="12.75" customHeight="1" x14ac:dyDescent="0.25">
      <c r="A128" s="574" t="s">
        <v>1308</v>
      </c>
      <c r="B128" s="169"/>
      <c r="C128" s="748"/>
      <c r="D128" s="753"/>
      <c r="E128" s="733"/>
      <c r="F128" s="733"/>
      <c r="G128" s="733"/>
      <c r="H128" s="733"/>
      <c r="I128" s="44">
        <f t="shared" si="22"/>
        <v>0</v>
      </c>
      <c r="J128" s="124" t="str">
        <f t="shared" si="31"/>
        <v/>
      </c>
      <c r="K128" s="735"/>
    </row>
    <row r="129" spans="1:11" ht="12.75" customHeight="1" x14ac:dyDescent="0.25">
      <c r="A129" s="574" t="s">
        <v>1219</v>
      </c>
      <c r="B129" s="169"/>
      <c r="C129" s="748"/>
      <c r="D129" s="753"/>
      <c r="E129" s="733"/>
      <c r="F129" s="733"/>
      <c r="G129" s="733"/>
      <c r="H129" s="733"/>
      <c r="I129" s="44">
        <f t="shared" si="22"/>
        <v>0</v>
      </c>
      <c r="J129" s="124" t="str">
        <f t="shared" si="31"/>
        <v/>
      </c>
      <c r="K129" s="735"/>
    </row>
    <row r="130" spans="1:11" ht="12.75" customHeight="1" x14ac:dyDescent="0.25">
      <c r="A130" s="518" t="s">
        <v>711</v>
      </c>
      <c r="B130" s="169"/>
      <c r="C130" s="648">
        <f t="shared" ref="C130:H130" si="32">SUM(C131:C133)</f>
        <v>0</v>
      </c>
      <c r="D130" s="649">
        <f t="shared" si="32"/>
        <v>0</v>
      </c>
      <c r="E130" s="408">
        <f t="shared" si="32"/>
        <v>0</v>
      </c>
      <c r="F130" s="408">
        <f t="shared" si="32"/>
        <v>0</v>
      </c>
      <c r="G130" s="408">
        <f t="shared" si="32"/>
        <v>0</v>
      </c>
      <c r="H130" s="408">
        <f t="shared" si="32"/>
        <v>0</v>
      </c>
      <c r="I130" s="258">
        <f t="shared" si="22"/>
        <v>0</v>
      </c>
      <c r="J130" s="575" t="str">
        <f t="shared" si="31"/>
        <v/>
      </c>
      <c r="K130" s="642">
        <f>SUM(K131:K133)</f>
        <v>0</v>
      </c>
    </row>
    <row r="131" spans="1:11" ht="12.75" customHeight="1" x14ac:dyDescent="0.25">
      <c r="A131" s="574" t="s">
        <v>1309</v>
      </c>
      <c r="B131" s="169"/>
      <c r="C131" s="748"/>
      <c r="D131" s="753"/>
      <c r="E131" s="733"/>
      <c r="F131" s="733"/>
      <c r="G131" s="733"/>
      <c r="H131" s="733"/>
      <c r="I131" s="44">
        <f t="shared" si="22"/>
        <v>0</v>
      </c>
      <c r="J131" s="124" t="str">
        <f t="shared" si="31"/>
        <v/>
      </c>
      <c r="K131" s="735"/>
    </row>
    <row r="132" spans="1:11" ht="12.75" customHeight="1" x14ac:dyDescent="0.25">
      <c r="A132" s="574" t="s">
        <v>1310</v>
      </c>
      <c r="B132" s="169"/>
      <c r="C132" s="748"/>
      <c r="D132" s="753"/>
      <c r="E132" s="733"/>
      <c r="F132" s="733"/>
      <c r="G132" s="733"/>
      <c r="H132" s="733"/>
      <c r="I132" s="44">
        <f t="shared" si="22"/>
        <v>0</v>
      </c>
      <c r="J132" s="124" t="str">
        <f t="shared" si="31"/>
        <v/>
      </c>
      <c r="K132" s="735"/>
    </row>
    <row r="133" spans="1:11" ht="12.75" customHeight="1" x14ac:dyDescent="0.25">
      <c r="A133" s="574" t="s">
        <v>1219</v>
      </c>
      <c r="B133" s="169"/>
      <c r="C133" s="748"/>
      <c r="D133" s="753"/>
      <c r="E133" s="733"/>
      <c r="F133" s="733"/>
      <c r="G133" s="733"/>
      <c r="H133" s="733"/>
      <c r="I133" s="44">
        <f t="shared" si="22"/>
        <v>0</v>
      </c>
      <c r="J133" s="124" t="str">
        <f t="shared" si="31"/>
        <v/>
      </c>
      <c r="K133" s="735"/>
    </row>
    <row r="134" spans="1:11" ht="5.0999999999999996" customHeight="1" x14ac:dyDescent="0.25">
      <c r="A134" s="39"/>
      <c r="B134" s="169"/>
      <c r="C134" s="134"/>
      <c r="D134" s="258"/>
      <c r="E134" s="44"/>
      <c r="F134" s="44"/>
      <c r="G134" s="44"/>
      <c r="H134" s="44"/>
      <c r="I134" s="44"/>
      <c r="J134" s="124" t="str">
        <f t="shared" si="31"/>
        <v/>
      </c>
      <c r="K134" s="144"/>
    </row>
    <row r="135" spans="1:11" ht="12.75" customHeight="1" x14ac:dyDescent="0.25">
      <c r="A135" s="549" t="s">
        <v>1311</v>
      </c>
      <c r="B135" s="169"/>
      <c r="C135" s="576">
        <f t="shared" ref="C135:H135" si="33">SUM(C136:C136)</f>
        <v>0</v>
      </c>
      <c r="D135" s="577">
        <f t="shared" si="33"/>
        <v>0</v>
      </c>
      <c r="E135" s="578">
        <f t="shared" si="33"/>
        <v>0</v>
      </c>
      <c r="F135" s="578">
        <f t="shared" si="33"/>
        <v>0</v>
      </c>
      <c r="G135" s="578">
        <f t="shared" si="33"/>
        <v>0</v>
      </c>
      <c r="H135" s="578">
        <f t="shared" si="33"/>
        <v>0</v>
      </c>
      <c r="I135" s="578">
        <f>H135-G135</f>
        <v>0</v>
      </c>
      <c r="J135" s="324" t="str">
        <f t="shared" si="31"/>
        <v/>
      </c>
      <c r="K135" s="580">
        <f>SUM(K136)</f>
        <v>0</v>
      </c>
    </row>
    <row r="136" spans="1:11" ht="12.75" customHeight="1" x14ac:dyDescent="0.25">
      <c r="A136" s="518" t="s">
        <v>1311</v>
      </c>
      <c r="B136" s="169"/>
      <c r="C136" s="748"/>
      <c r="D136" s="753"/>
      <c r="E136" s="733"/>
      <c r="F136" s="733"/>
      <c r="G136" s="733"/>
      <c r="H136" s="733"/>
      <c r="I136" s="44">
        <f>H136-G136</f>
        <v>0</v>
      </c>
      <c r="J136" s="124" t="str">
        <f t="shared" si="31"/>
        <v/>
      </c>
      <c r="K136" s="735"/>
    </row>
    <row r="137" spans="1:11" ht="5.0999999999999996" customHeight="1" x14ac:dyDescent="0.25">
      <c r="A137" s="548"/>
      <c r="B137" s="169"/>
      <c r="C137" s="134"/>
      <c r="D137" s="258"/>
      <c r="E137" s="44"/>
      <c r="F137" s="44"/>
      <c r="G137" s="44"/>
      <c r="H137" s="44"/>
      <c r="I137" s="44"/>
      <c r="J137" s="124" t="str">
        <f t="shared" si="31"/>
        <v/>
      </c>
      <c r="K137" s="144"/>
    </row>
    <row r="138" spans="1:11" s="100" customFormat="1" ht="12.75" customHeight="1" x14ac:dyDescent="0.25">
      <c r="A138" s="549" t="s">
        <v>1312</v>
      </c>
      <c r="B138" s="171"/>
      <c r="C138" s="940">
        <f t="shared" ref="C138:H138" si="34">SUM(C139:C140)</f>
        <v>0</v>
      </c>
      <c r="D138" s="941">
        <f t="shared" si="34"/>
        <v>46237276.472306006</v>
      </c>
      <c r="E138" s="942">
        <f t="shared" si="34"/>
        <v>0</v>
      </c>
      <c r="F138" s="942">
        <f t="shared" si="34"/>
        <v>0</v>
      </c>
      <c r="G138" s="942">
        <f t="shared" si="34"/>
        <v>0</v>
      </c>
      <c r="H138" s="942">
        <f t="shared" si="34"/>
        <v>7706212.7453843346</v>
      </c>
      <c r="I138" s="942">
        <f t="shared" ref="I138:I146" si="35">H138-G138</f>
        <v>7706212.7453843346</v>
      </c>
      <c r="J138" s="324">
        <f t="shared" si="31"/>
        <v>1</v>
      </c>
      <c r="K138" s="943">
        <f>SUM(K139:K140)</f>
        <v>46237276.472306006</v>
      </c>
    </row>
    <row r="139" spans="1:11" ht="12.75" customHeight="1" x14ac:dyDescent="0.25">
      <c r="A139" s="517" t="s">
        <v>1313</v>
      </c>
      <c r="B139" s="169"/>
      <c r="C139" s="748"/>
      <c r="D139" s="753"/>
      <c r="E139" s="733"/>
      <c r="F139" s="733"/>
      <c r="G139" s="733"/>
      <c r="H139" s="733"/>
      <c r="I139" s="44">
        <f t="shared" si="35"/>
        <v>0</v>
      </c>
      <c r="J139" s="124" t="str">
        <f t="shared" si="31"/>
        <v/>
      </c>
      <c r="K139" s="735"/>
    </row>
    <row r="140" spans="1:11" ht="12.75" customHeight="1" x14ac:dyDescent="0.25">
      <c r="A140" s="517" t="s">
        <v>1314</v>
      </c>
      <c r="B140" s="169"/>
      <c r="C140" s="648">
        <f t="shared" ref="C140:H140" si="36">SUM(C141:C146)</f>
        <v>0</v>
      </c>
      <c r="D140" s="649">
        <f t="shared" si="36"/>
        <v>46237276.472306006</v>
      </c>
      <c r="E140" s="408">
        <f t="shared" si="36"/>
        <v>0</v>
      </c>
      <c r="F140" s="408">
        <f t="shared" si="36"/>
        <v>0</v>
      </c>
      <c r="G140" s="408">
        <f t="shared" si="36"/>
        <v>0</v>
      </c>
      <c r="H140" s="408">
        <f t="shared" si="36"/>
        <v>7706212.7453843346</v>
      </c>
      <c r="I140" s="258">
        <f t="shared" si="35"/>
        <v>7706212.7453843346</v>
      </c>
      <c r="J140" s="575">
        <f t="shared" si="31"/>
        <v>1</v>
      </c>
      <c r="K140" s="642">
        <f>SUM(K141:K146)</f>
        <v>46237276.472306006</v>
      </c>
    </row>
    <row r="141" spans="1:11" ht="12.75" customHeight="1" x14ac:dyDescent="0.25">
      <c r="A141" s="574" t="s">
        <v>1315</v>
      </c>
      <c r="B141" s="169"/>
      <c r="C141" s="748"/>
      <c r="D141" s="753"/>
      <c r="E141" s="733"/>
      <c r="F141" s="733"/>
      <c r="G141" s="733"/>
      <c r="H141" s="733"/>
      <c r="I141" s="44">
        <f t="shared" si="35"/>
        <v>0</v>
      </c>
      <c r="J141" s="124" t="str">
        <f t="shared" si="31"/>
        <v/>
      </c>
      <c r="K141" s="735">
        <v>0</v>
      </c>
    </row>
    <row r="142" spans="1:11" ht="12.75" customHeight="1" x14ac:dyDescent="0.25">
      <c r="A142" s="574" t="s">
        <v>1316</v>
      </c>
      <c r="B142" s="169"/>
      <c r="C142" s="748"/>
      <c r="D142" s="753"/>
      <c r="E142" s="733"/>
      <c r="F142" s="733"/>
      <c r="G142" s="733"/>
      <c r="H142" s="733"/>
      <c r="I142" s="44">
        <f t="shared" si="35"/>
        <v>0</v>
      </c>
      <c r="J142" s="124" t="str">
        <f t="shared" si="31"/>
        <v/>
      </c>
      <c r="K142" s="735">
        <v>0</v>
      </c>
    </row>
    <row r="143" spans="1:11" ht="12.75" customHeight="1" x14ac:dyDescent="0.25">
      <c r="A143" s="574" t="s">
        <v>1317</v>
      </c>
      <c r="B143" s="169"/>
      <c r="C143" s="748"/>
      <c r="D143" s="753"/>
      <c r="E143" s="733"/>
      <c r="F143" s="733"/>
      <c r="G143" s="733"/>
      <c r="H143" s="733"/>
      <c r="I143" s="44">
        <f t="shared" si="35"/>
        <v>0</v>
      </c>
      <c r="J143" s="124" t="str">
        <f t="shared" si="31"/>
        <v/>
      </c>
      <c r="K143" s="735">
        <v>0</v>
      </c>
    </row>
    <row r="144" spans="1:11" ht="12.75" customHeight="1" x14ac:dyDescent="0.25">
      <c r="A144" s="574" t="s">
        <v>1318</v>
      </c>
      <c r="B144" s="169"/>
      <c r="C144" s="748"/>
      <c r="D144" s="753">
        <v>46237276.472306006</v>
      </c>
      <c r="E144" s="733"/>
      <c r="F144" s="733"/>
      <c r="G144" s="733"/>
      <c r="H144" s="733">
        <f>D144/12*2</f>
        <v>7706212.7453843346</v>
      </c>
      <c r="I144" s="44">
        <f t="shared" si="35"/>
        <v>7706212.7453843346</v>
      </c>
      <c r="J144" s="124">
        <f t="shared" si="31"/>
        <v>1</v>
      </c>
      <c r="K144" s="735">
        <f>D144</f>
        <v>46237276.472306006</v>
      </c>
    </row>
    <row r="145" spans="1:12" ht="12.75" customHeight="1" x14ac:dyDescent="0.25">
      <c r="A145" s="574" t="s">
        <v>1319</v>
      </c>
      <c r="B145" s="169"/>
      <c r="C145" s="748"/>
      <c r="D145" s="753"/>
      <c r="E145" s="733"/>
      <c r="F145" s="733"/>
      <c r="G145" s="733"/>
      <c r="H145" s="733"/>
      <c r="I145" s="44">
        <f t="shared" si="35"/>
        <v>0</v>
      </c>
      <c r="J145" s="124" t="str">
        <f t="shared" si="31"/>
        <v/>
      </c>
      <c r="K145" s="735">
        <v>0</v>
      </c>
    </row>
    <row r="146" spans="1:12" ht="12.75" customHeight="1" x14ac:dyDescent="0.25">
      <c r="A146" s="574" t="s">
        <v>1320</v>
      </c>
      <c r="B146" s="169"/>
      <c r="C146" s="748"/>
      <c r="D146" s="753"/>
      <c r="E146" s="733"/>
      <c r="F146" s="733"/>
      <c r="G146" s="733"/>
      <c r="H146" s="733"/>
      <c r="I146" s="44">
        <f t="shared" si="35"/>
        <v>0</v>
      </c>
      <c r="J146" s="124" t="str">
        <f t="shared" si="31"/>
        <v/>
      </c>
      <c r="K146" s="735">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7">SUM(C149:C149)</f>
        <v>0</v>
      </c>
      <c r="D148" s="577">
        <f t="shared" si="37"/>
        <v>30489488.019469682</v>
      </c>
      <c r="E148" s="578">
        <f t="shared" si="37"/>
        <v>0</v>
      </c>
      <c r="F148" s="578">
        <f t="shared" si="37"/>
        <v>0</v>
      </c>
      <c r="G148" s="578">
        <f t="shared" si="37"/>
        <v>0</v>
      </c>
      <c r="H148" s="578">
        <f t="shared" si="37"/>
        <v>5081581.3365782807</v>
      </c>
      <c r="I148" s="578">
        <f>H148-G148</f>
        <v>5081581.3365782807</v>
      </c>
      <c r="J148" s="324">
        <f>IF(I148=0,"",I148/H148)</f>
        <v>1</v>
      </c>
      <c r="K148" s="580">
        <f>SUM(K149)</f>
        <v>30489488.019469682</v>
      </c>
    </row>
    <row r="149" spans="1:12" ht="12.75" customHeight="1" x14ac:dyDescent="0.25">
      <c r="A149" s="518" t="s">
        <v>1321</v>
      </c>
      <c r="B149" s="169"/>
      <c r="C149" s="748"/>
      <c r="D149" s="753">
        <v>30489488.019469682</v>
      </c>
      <c r="E149" s="733"/>
      <c r="F149" s="733"/>
      <c r="G149" s="733"/>
      <c r="H149" s="733">
        <f>D149/12*2</f>
        <v>5081581.3365782807</v>
      </c>
      <c r="I149" s="44">
        <f>H149-G149</f>
        <v>5081581.3365782807</v>
      </c>
      <c r="J149" s="124">
        <f>IF(I149=0,"",I149/H149)</f>
        <v>1</v>
      </c>
      <c r="K149" s="735">
        <f>D149</f>
        <v>30489488.019469682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8">SUM(C152:C152)</f>
        <v>0</v>
      </c>
      <c r="D151" s="577">
        <f t="shared" si="38"/>
        <v>26221102.404387362</v>
      </c>
      <c r="E151" s="578">
        <f t="shared" si="38"/>
        <v>0</v>
      </c>
      <c r="F151" s="578">
        <f t="shared" si="38"/>
        <v>0</v>
      </c>
      <c r="G151" s="578">
        <f t="shared" si="38"/>
        <v>0</v>
      </c>
      <c r="H151" s="578">
        <f t="shared" si="38"/>
        <v>4370183.7340645604</v>
      </c>
      <c r="I151" s="578">
        <f>H151-G151</f>
        <v>4370183.7340645604</v>
      </c>
      <c r="J151" s="324">
        <f>IF(I151=0,"",I151/H151)</f>
        <v>1</v>
      </c>
      <c r="K151" s="580">
        <f>SUM(K152)</f>
        <v>26221102.404387362</v>
      </c>
    </row>
    <row r="152" spans="1:12" ht="12.75" customHeight="1" x14ac:dyDescent="0.25">
      <c r="A152" s="518" t="s">
        <v>1322</v>
      </c>
      <c r="B152" s="169"/>
      <c r="C152" s="748"/>
      <c r="D152" s="753">
        <v>26221102.404387362</v>
      </c>
      <c r="E152" s="733"/>
      <c r="F152" s="733"/>
      <c r="G152" s="733"/>
      <c r="H152" s="733">
        <f>D152/12*2</f>
        <v>4370183.7340645604</v>
      </c>
      <c r="I152" s="44">
        <f>H152-G152</f>
        <v>4370183.7340645604</v>
      </c>
      <c r="J152" s="124">
        <f>IF(I152=0,"",I152/H152)</f>
        <v>1</v>
      </c>
      <c r="K152" s="735">
        <f>D152</f>
        <v>26221102.404387362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9">SUM(C155:C155)</f>
        <v>0</v>
      </c>
      <c r="D154" s="577">
        <f t="shared" si="39"/>
        <v>34478166.653423235</v>
      </c>
      <c r="E154" s="578">
        <f t="shared" si="39"/>
        <v>0</v>
      </c>
      <c r="F154" s="578">
        <f t="shared" si="39"/>
        <v>1135600</v>
      </c>
      <c r="G154" s="578">
        <f t="shared" si="39"/>
        <v>1135600</v>
      </c>
      <c r="H154" s="578">
        <f t="shared" si="39"/>
        <v>5746361.1089038728</v>
      </c>
      <c r="I154" s="578">
        <f>H154-G154</f>
        <v>4610761.1089038728</v>
      </c>
      <c r="J154" s="324">
        <f>IF(I154=0,"",I154/H154)</f>
        <v>0.80237928343201226</v>
      </c>
      <c r="K154" s="580">
        <f>SUM(K155)</f>
        <v>34478166.653423235</v>
      </c>
    </row>
    <row r="155" spans="1:12" ht="12.75" customHeight="1" x14ac:dyDescent="0.25">
      <c r="A155" s="518" t="s">
        <v>1323</v>
      </c>
      <c r="B155" s="169"/>
      <c r="C155" s="748"/>
      <c r="D155" s="753">
        <v>34478166.653423235</v>
      </c>
      <c r="E155" s="733"/>
      <c r="F155" s="733">
        <v>1135600</v>
      </c>
      <c r="G155" s="733">
        <v>1135600</v>
      </c>
      <c r="H155" s="733">
        <f>D155/12*2</f>
        <v>5746361.1089038728</v>
      </c>
      <c r="I155" s="44">
        <f>H155-G155</f>
        <v>4610761.1089038728</v>
      </c>
      <c r="J155" s="124">
        <f>IF(I155=0,"",I155/H155)</f>
        <v>0.80237928343201226</v>
      </c>
      <c r="K155" s="735">
        <f>D155</f>
        <v>34478166.653423235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40">SUM(C158:C158)</f>
        <v>0</v>
      </c>
      <c r="D157" s="577">
        <f t="shared" si="40"/>
        <v>0</v>
      </c>
      <c r="E157" s="578">
        <f t="shared" si="40"/>
        <v>0</v>
      </c>
      <c r="F157" s="578">
        <f t="shared" si="40"/>
        <v>0</v>
      </c>
      <c r="G157" s="578">
        <f t="shared" si="40"/>
        <v>0</v>
      </c>
      <c r="H157" s="578">
        <f t="shared" si="4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1">SUM(C161:C161)</f>
        <v>0</v>
      </c>
      <c r="D160" s="577">
        <f t="shared" si="41"/>
        <v>48520598.76723469</v>
      </c>
      <c r="E160" s="578">
        <f t="shared" si="41"/>
        <v>0</v>
      </c>
      <c r="F160" s="578">
        <f t="shared" si="41"/>
        <v>0</v>
      </c>
      <c r="G160" s="578">
        <f t="shared" si="41"/>
        <v>0</v>
      </c>
      <c r="H160" s="578">
        <f t="shared" si="41"/>
        <v>8086766.4612057814</v>
      </c>
      <c r="I160" s="578">
        <f>H160-G160</f>
        <v>8086766.4612057814</v>
      </c>
      <c r="J160" s="324">
        <f>IF(I160=0,"",I160/H160)</f>
        <v>1</v>
      </c>
      <c r="K160" s="580">
        <f>SUM(K161)</f>
        <v>48520598.76723469</v>
      </c>
    </row>
    <row r="161" spans="1:11" ht="12.75" customHeight="1" x14ac:dyDescent="0.25">
      <c r="A161" s="518" t="s">
        <v>1335</v>
      </c>
      <c r="B161" s="169"/>
      <c r="C161" s="748"/>
      <c r="D161" s="753">
        <v>48520598.76723469</v>
      </c>
      <c r="E161" s="733"/>
      <c r="F161" s="733"/>
      <c r="G161" s="733"/>
      <c r="H161" s="733">
        <f>D161/12*2</f>
        <v>8086766.4612057814</v>
      </c>
      <c r="I161" s="44">
        <f>H161-G161</f>
        <v>8086766.4612057814</v>
      </c>
      <c r="J161" s="124">
        <f>IF(I161=0,"",I161/H161)</f>
        <v>1</v>
      </c>
      <c r="K161" s="735">
        <f>D161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2">SUM(C164:C164)</f>
        <v>0</v>
      </c>
      <c r="D163" s="577">
        <f t="shared" si="42"/>
        <v>0</v>
      </c>
      <c r="E163" s="578">
        <f t="shared" si="42"/>
        <v>0</v>
      </c>
      <c r="F163" s="578">
        <f t="shared" si="42"/>
        <v>0</v>
      </c>
      <c r="G163" s="578">
        <f t="shared" si="42"/>
        <v>0</v>
      </c>
      <c r="H163" s="578">
        <f t="shared" si="4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3">C7+C75+C103+C110+C117+C135+C138+C148+C151+C154+C157+C160+C163</f>
        <v>0</v>
      </c>
      <c r="D166" s="271">
        <f t="shared" si="43"/>
        <v>456241581</v>
      </c>
      <c r="E166" s="55">
        <f t="shared" si="43"/>
        <v>0</v>
      </c>
      <c r="F166" s="55">
        <f t="shared" si="43"/>
        <v>1419690.28</v>
      </c>
      <c r="G166" s="55">
        <f t="shared" si="43"/>
        <v>1419690.28</v>
      </c>
      <c r="H166" s="55">
        <f t="shared" si="43"/>
        <v>76040263.5</v>
      </c>
      <c r="I166" s="55">
        <f>H166-G166</f>
        <v>74620573.219999999</v>
      </c>
      <c r="J166" s="290">
        <f>IF(I166=0,"",I166/H166)</f>
        <v>0.98132975591280003</v>
      </c>
      <c r="K166" s="235">
        <f>K7+K75+K103+K110+K117+K135+K138+K148+K151+K154+K157+K160+K163</f>
        <v>456241581</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3" activePane="bottomRight" state="frozen"/>
      <selection pane="topRight"/>
      <selection pane="bottomLeft"/>
      <selection pane="bottomRight" activeCell="F108" sqref="F108:G108"/>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"&amp;S71Sb&amp; " - "&amp;Head57</f>
        <v>KZN225 Msunduzi - Supporting Table SC13b Consolidated Monthly Budget Statement - capital expenditure on renewal of existing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0</v>
      </c>
      <c r="F7" s="102">
        <f t="shared" si="0"/>
        <v>0</v>
      </c>
      <c r="G7" s="102">
        <f t="shared" si="0"/>
        <v>0</v>
      </c>
      <c r="H7" s="102">
        <f t="shared" si="0"/>
        <v>1245168.0618488083</v>
      </c>
      <c r="I7" s="101">
        <f t="shared" ref="I7:I133" si="1">H7-G7</f>
        <v>1245168.0618488083</v>
      </c>
      <c r="J7" s="579">
        <f t="shared" ref="J7:J136" si="2">IF(I7=0,"",I7/H7)</f>
        <v>1</v>
      </c>
      <c r="K7" s="603">
        <f>K8+K13+K17+K27+K38+K45+K53+K63+K69</f>
        <v>7471008.3710928503</v>
      </c>
    </row>
    <row r="8" spans="1:11" ht="12.75" customHeight="1" x14ac:dyDescent="0.25">
      <c r="A8" s="518" t="s">
        <v>1216</v>
      </c>
      <c r="B8" s="169"/>
      <c r="C8" s="677">
        <f t="shared" ref="C8:H8" si="3">SUM(C9:C12)</f>
        <v>0</v>
      </c>
      <c r="D8" s="609">
        <f t="shared" si="3"/>
        <v>5914548.2937818393</v>
      </c>
      <c r="E8" s="608">
        <f t="shared" si="3"/>
        <v>0</v>
      </c>
      <c r="F8" s="608">
        <f t="shared" si="3"/>
        <v>0</v>
      </c>
      <c r="G8" s="608">
        <f t="shared" si="3"/>
        <v>0</v>
      </c>
      <c r="H8" s="608">
        <f t="shared" si="3"/>
        <v>985758.04896363989</v>
      </c>
      <c r="I8" s="258">
        <f t="shared" si="1"/>
        <v>985758.04896363989</v>
      </c>
      <c r="J8" s="575">
        <f t="shared" si="2"/>
        <v>1</v>
      </c>
      <c r="K8" s="610">
        <f>SUM(K9:K12)</f>
        <v>5914548.2937818393</v>
      </c>
    </row>
    <row r="9" spans="1:11" ht="12.75" customHeight="1" x14ac:dyDescent="0.25">
      <c r="A9" s="574" t="s">
        <v>168</v>
      </c>
      <c r="B9" s="169"/>
      <c r="C9" s="748"/>
      <c r="D9" s="745">
        <v>5914548.2937818393</v>
      </c>
      <c r="E9" s="733"/>
      <c r="F9" s="733"/>
      <c r="G9" s="733"/>
      <c r="H9" s="733">
        <f>D9/12*2</f>
        <v>985758.04896363989</v>
      </c>
      <c r="I9" s="258">
        <f t="shared" si="1"/>
        <v>985758.04896363989</v>
      </c>
      <c r="J9" s="575">
        <f t="shared" si="2"/>
        <v>1</v>
      </c>
      <c r="K9" s="735">
        <f>D9</f>
        <v>5914548.2937818393</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0</v>
      </c>
      <c r="F45" s="408">
        <f t="shared" si="8"/>
        <v>0</v>
      </c>
      <c r="G45" s="408">
        <f t="shared" si="8"/>
        <v>0</v>
      </c>
      <c r="H45" s="408">
        <f t="shared" si="8"/>
        <v>259410.01288516843</v>
      </c>
      <c r="I45" s="258">
        <f t="shared" si="1"/>
        <v>259410.01288516843</v>
      </c>
      <c r="J45" s="575">
        <f t="shared" si="2"/>
        <v>1</v>
      </c>
      <c r="K45" s="642">
        <f>SUM(K46:K52)</f>
        <v>1556460.0773110106</v>
      </c>
    </row>
    <row r="46" spans="1:11" ht="12.75" customHeight="1" x14ac:dyDescent="0.25">
      <c r="A46" s="574" t="s">
        <v>1249</v>
      </c>
      <c r="B46" s="169"/>
      <c r="C46" s="748"/>
      <c r="D46" s="745">
        <v>1556460.0773110106</v>
      </c>
      <c r="E46" s="733"/>
      <c r="F46" s="733"/>
      <c r="G46" s="733"/>
      <c r="H46" s="733">
        <f>D46/12*2</f>
        <v>259410.01288516843</v>
      </c>
      <c r="I46" s="258">
        <f t="shared" si="1"/>
        <v>259410.01288516843</v>
      </c>
      <c r="J46" s="575">
        <f t="shared" si="2"/>
        <v>1</v>
      </c>
      <c r="K46" s="735">
        <f>D46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0</v>
      </c>
      <c r="F151" s="578">
        <f t="shared" si="28"/>
        <v>0</v>
      </c>
      <c r="G151" s="578">
        <f t="shared" si="28"/>
        <v>0</v>
      </c>
      <c r="H151" s="578">
        <f t="shared" si="28"/>
        <v>64852.503221292107</v>
      </c>
      <c r="I151" s="578">
        <f>H151-G151</f>
        <v>64852.503221292107</v>
      </c>
      <c r="J151" s="324">
        <f>IF(I151=0,"",I151/H151)</f>
        <v>1</v>
      </c>
      <c r="K151" s="580">
        <f>SUM(K152)</f>
        <v>389115.01932775264</v>
      </c>
    </row>
    <row r="152" spans="1:12" ht="12.75" customHeight="1" x14ac:dyDescent="0.25">
      <c r="A152" s="518" t="s">
        <v>1322</v>
      </c>
      <c r="B152" s="169"/>
      <c r="C152" s="748"/>
      <c r="D152" s="753">
        <v>389115.01932775264</v>
      </c>
      <c r="E152" s="733"/>
      <c r="F152" s="733"/>
      <c r="G152" s="733"/>
      <c r="H152" s="733">
        <f>D152/12*2</f>
        <v>64852.503221292107</v>
      </c>
      <c r="I152" s="44">
        <f>H152-G152</f>
        <v>64852.503221292107</v>
      </c>
      <c r="J152" s="124">
        <f>IF(I152=0,"",I152/H152)</f>
        <v>1</v>
      </c>
      <c r="K152" s="735">
        <f>D152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0</v>
      </c>
      <c r="F154" s="578">
        <f t="shared" si="29"/>
        <v>0</v>
      </c>
      <c r="G154" s="578">
        <f t="shared" si="29"/>
        <v>0</v>
      </c>
      <c r="H154" s="578">
        <f t="shared" si="29"/>
        <v>1223312.7682632329</v>
      </c>
      <c r="I154" s="578">
        <f>H154-G154</f>
        <v>1223312.7682632329</v>
      </c>
      <c r="J154" s="324">
        <f>IF(I154=0,"",I154/H154)</f>
        <v>1</v>
      </c>
      <c r="K154" s="580">
        <f>SUM(K155)</f>
        <v>7339876.6095793974</v>
      </c>
    </row>
    <row r="155" spans="1:12" ht="12.75" customHeight="1" x14ac:dyDescent="0.25">
      <c r="A155" s="518" t="s">
        <v>1323</v>
      </c>
      <c r="B155" s="169"/>
      <c r="C155" s="748"/>
      <c r="D155" s="753">
        <v>7339876.6095793974</v>
      </c>
      <c r="E155" s="733"/>
      <c r="F155" s="733"/>
      <c r="G155" s="733"/>
      <c r="H155" s="733">
        <f>D155/12*2</f>
        <v>1223312.7682632329</v>
      </c>
      <c r="I155" s="44">
        <f>H155-G155</f>
        <v>1223312.7682632329</v>
      </c>
      <c r="J155" s="124">
        <f>IF(I155=0,"",I155/H155)</f>
        <v>1</v>
      </c>
      <c r="K155" s="735">
        <f>D155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0</v>
      </c>
      <c r="F166" s="55">
        <f t="shared" si="33"/>
        <v>0</v>
      </c>
      <c r="G166" s="55">
        <f t="shared" si="33"/>
        <v>0</v>
      </c>
      <c r="H166" s="55">
        <f t="shared" si="33"/>
        <v>2533333.333333333</v>
      </c>
      <c r="I166" s="55">
        <f>H166-G166</f>
        <v>2533333.333333333</v>
      </c>
      <c r="J166" s="290">
        <f>IF(I166=0,"",I166/H166)</f>
        <v>1</v>
      </c>
      <c r="K166" s="235">
        <f>K7+K75+K103+K110+K117+K135+K138+K148+K151+K154+K157+K160+K163</f>
        <v>15200000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 activePane="bottomRight" state="frozen"/>
      <selection pane="topRight"/>
      <selection pane="bottomLeft"/>
      <selection pane="bottomRight" activeCell="F155" sqref="F155:G155"/>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"&amp;S71Sc&amp; " - "&amp;Head57</f>
        <v>KZN225 Msunduzi - Supporting Table SC13c Consolidated Monthly Budget Statement - expenditure on repairs and maintenance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0</v>
      </c>
      <c r="F7" s="102">
        <f t="shared" si="0"/>
        <v>3378878.5300000003</v>
      </c>
      <c r="G7" s="102">
        <f t="shared" si="0"/>
        <v>3206588.2299999995</v>
      </c>
      <c r="H7" s="102">
        <f t="shared" si="0"/>
        <v>30468181.364933204</v>
      </c>
      <c r="I7" s="101">
        <f t="shared" ref="I7:I166" si="1">H7-G7</f>
        <v>27261593.134933203</v>
      </c>
      <c r="J7" s="579">
        <f t="shared" ref="J7:J166" si="2">IF(I7=0,"",I7/H7)</f>
        <v>0.89475616573260375</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0</v>
      </c>
      <c r="F8" s="608">
        <f t="shared" si="3"/>
        <v>0</v>
      </c>
      <c r="G8" s="608">
        <f t="shared" si="3"/>
        <v>0</v>
      </c>
      <c r="H8" s="608">
        <f t="shared" si="3"/>
        <v>11229569.442141911</v>
      </c>
      <c r="I8" s="258">
        <f t="shared" si="1"/>
        <v>11229569.442141911</v>
      </c>
      <c r="J8" s="575">
        <f t="shared" si="2"/>
        <v>1</v>
      </c>
      <c r="K8" s="610">
        <f>SUM(K9:K12)</f>
        <v>67377416.652851462</v>
      </c>
    </row>
    <row r="9" spans="1:11" ht="12.75" customHeight="1" x14ac:dyDescent="0.25">
      <c r="A9" s="574" t="s">
        <v>168</v>
      </c>
      <c r="B9" s="169"/>
      <c r="C9" s="748"/>
      <c r="D9" s="745">
        <v>67377416.652851462</v>
      </c>
      <c r="E9" s="733"/>
      <c r="F9" s="733"/>
      <c r="G9" s="733"/>
      <c r="H9" s="733">
        <f>D9/12*2</f>
        <v>11229569.442141911</v>
      </c>
      <c r="I9" s="258">
        <f t="shared" si="1"/>
        <v>11229569.442141911</v>
      </c>
      <c r="J9" s="575">
        <f t="shared" si="2"/>
        <v>1</v>
      </c>
      <c r="K9" s="735">
        <f>D9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0</v>
      </c>
      <c r="F17" s="408">
        <f t="shared" si="5"/>
        <v>3378878.5300000003</v>
      </c>
      <c r="G17" s="408">
        <f t="shared" si="5"/>
        <v>3206588.2299999995</v>
      </c>
      <c r="H17" s="408">
        <f t="shared" si="5"/>
        <v>12061410.275365917</v>
      </c>
      <c r="I17" s="258">
        <f t="shared" si="1"/>
        <v>8854822.0453659184</v>
      </c>
      <c r="J17" s="575">
        <f t="shared" si="2"/>
        <v>0.73414483407888909</v>
      </c>
      <c r="K17" s="642">
        <f>SUM(K18:K26)</f>
        <v>72368461.652195498</v>
      </c>
    </row>
    <row r="18" spans="1:11" ht="12.75" customHeight="1" x14ac:dyDescent="0.25">
      <c r="A18" s="574" t="s">
        <v>1225</v>
      </c>
      <c r="B18" s="169"/>
      <c r="C18" s="748"/>
      <c r="D18" s="745">
        <v>72368461.652195498</v>
      </c>
      <c r="E18" s="733"/>
      <c r="F18" s="733"/>
      <c r="G18" s="733"/>
      <c r="H18" s="733">
        <f>D18/12*2</f>
        <v>12061410.275365917</v>
      </c>
      <c r="I18" s="258">
        <f t="shared" si="1"/>
        <v>12061410.275365917</v>
      </c>
      <c r="J18" s="575">
        <f t="shared" si="2"/>
        <v>1</v>
      </c>
      <c r="K18" s="735">
        <f>D18</f>
        <v>72368461.652195498</v>
      </c>
    </row>
    <row r="19" spans="1:11" ht="12.75" customHeight="1" x14ac:dyDescent="0.25">
      <c r="A19" s="574" t="s">
        <v>1226</v>
      </c>
      <c r="B19" s="169"/>
      <c r="C19" s="748"/>
      <c r="D19" s="745"/>
      <c r="E19" s="733"/>
      <c r="F19" s="733">
        <v>1747698.2100000002</v>
      </c>
      <c r="G19" s="733">
        <v>1459527.4399999997</v>
      </c>
      <c r="H19" s="733"/>
      <c r="I19" s="258">
        <f t="shared" si="1"/>
        <v>-1459527.4399999997</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408771.73</v>
      </c>
      <c r="G22" s="733">
        <v>476473.83999999997</v>
      </c>
      <c r="H22" s="733"/>
      <c r="I22" s="258">
        <f t="shared" si="1"/>
        <v>-476473.83999999997</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1222408.5900000001</v>
      </c>
      <c r="G25" s="733">
        <v>1270586.95</v>
      </c>
      <c r="H25" s="733"/>
      <c r="I25" s="258">
        <f t="shared" si="1"/>
        <v>-1270586.95</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0</v>
      </c>
      <c r="F27" s="408">
        <f t="shared" si="6"/>
        <v>0</v>
      </c>
      <c r="G27" s="408">
        <f t="shared" si="6"/>
        <v>0</v>
      </c>
      <c r="H27" s="408">
        <f t="shared" si="6"/>
        <v>3691605.801148152</v>
      </c>
      <c r="I27" s="258">
        <f t="shared" si="1"/>
        <v>3691605.801148152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c r="F34" s="733"/>
      <c r="G34" s="733"/>
      <c r="H34" s="733">
        <f>D34/12*2</f>
        <v>3691605.801148152</v>
      </c>
      <c r="I34" s="258">
        <f t="shared" si="1"/>
        <v>3691605.801148152</v>
      </c>
      <c r="J34" s="575">
        <f t="shared" si="2"/>
        <v>1</v>
      </c>
      <c r="K34" s="735">
        <f>D34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0</v>
      </c>
      <c r="F38" s="408">
        <f t="shared" si="7"/>
        <v>0</v>
      </c>
      <c r="G38" s="408">
        <f t="shared" si="7"/>
        <v>0</v>
      </c>
      <c r="H38" s="408">
        <f t="shared" si="7"/>
        <v>1462565.5438342791</v>
      </c>
      <c r="I38" s="258">
        <f t="shared" si="1"/>
        <v>1462565.5438342791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c r="F41" s="733"/>
      <c r="G41" s="733"/>
      <c r="H41" s="733">
        <f>D41/12*2</f>
        <v>1462565.5438342791</v>
      </c>
      <c r="I41" s="258">
        <f t="shared" si="1"/>
        <v>1462565.5438342791</v>
      </c>
      <c r="J41" s="575">
        <f t="shared" si="2"/>
        <v>1</v>
      </c>
      <c r="K41" s="735">
        <f>D41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0</v>
      </c>
      <c r="F45" s="408">
        <f t="shared" si="8"/>
        <v>0</v>
      </c>
      <c r="G45" s="408">
        <f t="shared" si="8"/>
        <v>0</v>
      </c>
      <c r="H45" s="408">
        <f t="shared" si="8"/>
        <v>2023030.3024429439</v>
      </c>
      <c r="I45" s="258">
        <f t="shared" si="1"/>
        <v>2023030.3024429439</v>
      </c>
      <c r="J45" s="575">
        <f t="shared" si="2"/>
        <v>1</v>
      </c>
      <c r="K45" s="642">
        <f>SUM(K46:K52)</f>
        <v>12138181.814657664</v>
      </c>
    </row>
    <row r="46" spans="1:11" ht="12.75" customHeight="1" x14ac:dyDescent="0.25">
      <c r="A46" s="574" t="s">
        <v>1249</v>
      </c>
      <c r="B46" s="169"/>
      <c r="C46" s="748"/>
      <c r="D46" s="745">
        <v>12138181.814657664</v>
      </c>
      <c r="E46" s="733"/>
      <c r="F46" s="733"/>
      <c r="G46" s="733"/>
      <c r="H46" s="733">
        <f>D46/12*2</f>
        <v>2023030.3024429439</v>
      </c>
      <c r="I46" s="258">
        <f t="shared" si="1"/>
        <v>2023030.3024429439</v>
      </c>
      <c r="J46" s="575">
        <f t="shared" si="2"/>
        <v>1</v>
      </c>
      <c r="K46" s="735">
        <f>D46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0</v>
      </c>
      <c r="F75" s="578">
        <f t="shared" si="12"/>
        <v>0</v>
      </c>
      <c r="G75" s="578">
        <f t="shared" si="12"/>
        <v>0</v>
      </c>
      <c r="H75" s="578">
        <f t="shared" si="12"/>
        <v>3918786.8914758353</v>
      </c>
      <c r="I75" s="578">
        <f t="shared" si="1"/>
        <v>3918786.8914758353</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0</v>
      </c>
      <c r="F76" s="408">
        <f t="shared" si="13"/>
        <v>0</v>
      </c>
      <c r="G76" s="408">
        <f t="shared" si="13"/>
        <v>0</v>
      </c>
      <c r="H76" s="408">
        <f t="shared" si="13"/>
        <v>3918786.8914758353</v>
      </c>
      <c r="I76" s="258">
        <f t="shared" si="1"/>
        <v>3918786.8914758353</v>
      </c>
      <c r="J76" s="575">
        <f t="shared" si="2"/>
        <v>1</v>
      </c>
      <c r="K76" s="642">
        <f>SUM(K77:K98)</f>
        <v>23512721.348855015</v>
      </c>
    </row>
    <row r="77" spans="1:11" ht="12.75" customHeight="1" x14ac:dyDescent="0.25">
      <c r="A77" s="574" t="s">
        <v>1269</v>
      </c>
      <c r="B77" s="169"/>
      <c r="C77" s="748"/>
      <c r="D77" s="753">
        <v>927507.91476110253</v>
      </c>
      <c r="E77" s="733"/>
      <c r="F77" s="733"/>
      <c r="G77" s="733"/>
      <c r="H77" s="733">
        <f>D77/12*2</f>
        <v>154584.65246018374</v>
      </c>
      <c r="I77" s="44">
        <f t="shared" si="1"/>
        <v>154584.65246018374</v>
      </c>
      <c r="J77" s="124">
        <f t="shared" si="2"/>
        <v>1</v>
      </c>
      <c r="K77" s="735">
        <f>D77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c r="F80" s="733"/>
      <c r="G80" s="733"/>
      <c r="H80" s="733">
        <f>D80/12*2</f>
        <v>77050.678766299374</v>
      </c>
      <c r="I80" s="44">
        <f t="shared" si="1"/>
        <v>77050.678766299374</v>
      </c>
      <c r="J80" s="124">
        <f t="shared" si="2"/>
        <v>1</v>
      </c>
      <c r="K80" s="735">
        <f>D80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c r="F86" s="733"/>
      <c r="G86" s="733"/>
      <c r="H86" s="733">
        <f>D86/12*2</f>
        <v>146288.40791274601</v>
      </c>
      <c r="I86" s="44">
        <f t="shared" si="1"/>
        <v>146288.40791274601</v>
      </c>
      <c r="J86" s="124">
        <f t="shared" si="2"/>
        <v>1</v>
      </c>
      <c r="K86" s="735">
        <f>D86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c r="F88" s="733"/>
      <c r="G88" s="733"/>
      <c r="H88" s="733">
        <f>D88/12*2</f>
        <v>635075.32331123366</v>
      </c>
      <c r="I88" s="44">
        <f t="shared" si="1"/>
        <v>635075.32331123366</v>
      </c>
      <c r="J88" s="124">
        <f t="shared" si="2"/>
        <v>1</v>
      </c>
      <c r="K88" s="735">
        <f>D88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c r="F90" s="733"/>
      <c r="G90" s="733"/>
      <c r="H90" s="733">
        <f>D90/12*2</f>
        <v>2093035.477190803</v>
      </c>
      <c r="I90" s="44">
        <f t="shared" si="1"/>
        <v>2093035.477190803</v>
      </c>
      <c r="J90" s="124">
        <f t="shared" si="2"/>
        <v>1</v>
      </c>
      <c r="K90" s="735">
        <f>D90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c r="F93" s="733"/>
      <c r="G93" s="733"/>
      <c r="H93" s="733">
        <f>D93/12*2</f>
        <v>812752.35183456959</v>
      </c>
      <c r="I93" s="44">
        <f t="shared" si="1"/>
        <v>812752.35183456959</v>
      </c>
      <c r="J93" s="124">
        <f t="shared" si="2"/>
        <v>1</v>
      </c>
      <c r="K93" s="735">
        <f>D93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0</v>
      </c>
      <c r="F103" s="99">
        <f t="shared" si="15"/>
        <v>0</v>
      </c>
      <c r="G103" s="99">
        <f t="shared" si="15"/>
        <v>0</v>
      </c>
      <c r="H103" s="99">
        <f t="shared" si="15"/>
        <v>4497000.7995694019</v>
      </c>
      <c r="I103" s="99">
        <f t="shared" si="1"/>
        <v>4497000.7995694019</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c r="F105" s="733"/>
      <c r="G105" s="733"/>
      <c r="H105" s="733">
        <f>D105/12*2</f>
        <v>4497000.7995694019</v>
      </c>
      <c r="I105" s="44">
        <f t="shared" si="1"/>
        <v>4497000.7995694019</v>
      </c>
      <c r="J105" s="124">
        <f t="shared" si="2"/>
        <v>1</v>
      </c>
      <c r="K105" s="735">
        <f>D105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17708.45</v>
      </c>
      <c r="G117" s="578">
        <f t="shared" si="19"/>
        <v>-632528.56000000006</v>
      </c>
      <c r="H117" s="578">
        <f t="shared" si="19"/>
        <v>0</v>
      </c>
      <c r="I117" s="578">
        <f t="shared" si="1"/>
        <v>632528.56000000006</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17708.45</v>
      </c>
      <c r="G118" s="408">
        <f t="shared" si="20"/>
        <v>-632528.56000000006</v>
      </c>
      <c r="H118" s="408">
        <f t="shared" si="20"/>
        <v>0</v>
      </c>
      <c r="I118" s="258">
        <f t="shared" si="1"/>
        <v>632528.56000000006</v>
      </c>
      <c r="J118" s="575" t="e">
        <f t="shared" si="2"/>
        <v>#DIV/0!</v>
      </c>
      <c r="K118" s="642">
        <f>SUM(K119:K129)</f>
        <v>0</v>
      </c>
    </row>
    <row r="119" spans="1:11" ht="12.75" customHeight="1" x14ac:dyDescent="0.25">
      <c r="A119" s="574" t="s">
        <v>1299</v>
      </c>
      <c r="B119" s="169"/>
      <c r="C119" s="748"/>
      <c r="D119" s="753"/>
      <c r="E119" s="733"/>
      <c r="F119" s="733">
        <v>17708.45</v>
      </c>
      <c r="G119" s="733">
        <v>-632528.56000000006</v>
      </c>
      <c r="H119" s="733"/>
      <c r="I119" s="44">
        <f t="shared" si="1"/>
        <v>632528.56000000006</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5400464.2400000002</v>
      </c>
      <c r="G154" s="578">
        <f t="shared" si="29"/>
        <v>4196650.38</v>
      </c>
      <c r="H154" s="578">
        <f t="shared" si="29"/>
        <v>0</v>
      </c>
      <c r="I154" s="578">
        <f>H154-G154</f>
        <v>-4196650.38</v>
      </c>
      <c r="J154" s="324" t="e">
        <f>IF(I154=0,"",I154/H154)</f>
        <v>#DIV/0!</v>
      </c>
      <c r="K154" s="580">
        <f>SUM(K155)</f>
        <v>0</v>
      </c>
    </row>
    <row r="155" spans="1:12" ht="12.75" customHeight="1" x14ac:dyDescent="0.25">
      <c r="A155" s="518" t="s">
        <v>1323</v>
      </c>
      <c r="B155" s="169"/>
      <c r="C155" s="748"/>
      <c r="D155" s="753"/>
      <c r="E155" s="733"/>
      <c r="F155" s="733">
        <v>5400464.2400000002</v>
      </c>
      <c r="G155" s="733">
        <v>4196650.38</v>
      </c>
      <c r="H155" s="733"/>
      <c r="I155" s="44">
        <f>H155-G155</f>
        <v>-4196650.38</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0</v>
      </c>
      <c r="F166" s="55">
        <f t="shared" si="33"/>
        <v>8797051.2200000007</v>
      </c>
      <c r="G166" s="55">
        <f t="shared" si="33"/>
        <v>6770710.0499999989</v>
      </c>
      <c r="H166" s="55">
        <f t="shared" si="33"/>
        <v>38883969.055978447</v>
      </c>
      <c r="I166" s="55">
        <f t="shared" si="1"/>
        <v>32113259.00597845</v>
      </c>
      <c r="J166" s="290">
        <f t="shared" si="2"/>
        <v>0.8258739986071717</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55" activePane="bottomRight" state="frozen"/>
      <selection pane="topRight"/>
      <selection pane="bottomLeft"/>
      <selection pane="bottomRight" activeCell="J185" sqref="J185"/>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"&amp;S71Sd&amp; " - "&amp;Head57</f>
        <v>KZN225 Msunduzi - Supporting Table SC13d Consolidated Monthly Budget Statement - depreciation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0</v>
      </c>
      <c r="F7" s="102">
        <f t="shared" si="0"/>
        <v>27557685.68</v>
      </c>
      <c r="G7" s="102">
        <f t="shared" si="0"/>
        <v>55115463.909999996</v>
      </c>
      <c r="H7" s="102">
        <f t="shared" si="0"/>
        <v>17024066.936059155</v>
      </c>
      <c r="I7" s="101">
        <f t="shared" ref="I7:I166" si="1">H7-G7</f>
        <v>-38091396.973940842</v>
      </c>
      <c r="J7" s="579">
        <f t="shared" ref="J7:J166" si="2">IF(I7=0,"",I7/H7)</f>
        <v>-2.2375027728103198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0</v>
      </c>
      <c r="F8" s="608">
        <f t="shared" si="3"/>
        <v>10162698.1</v>
      </c>
      <c r="G8" s="608">
        <f t="shared" si="3"/>
        <v>20325396.749999996</v>
      </c>
      <c r="H8" s="608">
        <f t="shared" si="3"/>
        <v>2482098.4877565694</v>
      </c>
      <c r="I8" s="258">
        <f t="shared" si="1"/>
        <v>-17843298.262243427</v>
      </c>
      <c r="J8" s="575">
        <f t="shared" si="2"/>
        <v>-7.1887954286499687</v>
      </c>
      <c r="K8" s="610">
        <f>SUM(K9:K12)</f>
        <v>14933619.963149311</v>
      </c>
    </row>
    <row r="9" spans="1:11" ht="12.75" customHeight="1" x14ac:dyDescent="0.25">
      <c r="A9" s="574" t="s">
        <v>168</v>
      </c>
      <c r="B9" s="169"/>
      <c r="C9" s="748"/>
      <c r="D9" s="745">
        <v>14851561.889929518</v>
      </c>
      <c r="E9" s="733"/>
      <c r="F9" s="733">
        <v>10162698.1</v>
      </c>
      <c r="G9" s="733">
        <v>20325396.749999996</v>
      </c>
      <c r="H9" s="733">
        <f>D9/12*2</f>
        <v>2475260.3149882532</v>
      </c>
      <c r="I9" s="258">
        <f t="shared" si="1"/>
        <v>-17850136.435011744</v>
      </c>
      <c r="J9" s="575">
        <f t="shared" si="2"/>
        <v>-7.2114178565079348</v>
      </c>
      <c r="K9" s="735">
        <f>D9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c r="F12" s="733"/>
      <c r="G12" s="733"/>
      <c r="H12" s="733">
        <f>D12/12*1</f>
        <v>6838.1727683160088</v>
      </c>
      <c r="I12" s="258">
        <f t="shared" si="1"/>
        <v>6838.1727683160088</v>
      </c>
      <c r="J12" s="575">
        <f t="shared" si="2"/>
        <v>1</v>
      </c>
      <c r="K12" s="735">
        <f>D12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0</v>
      </c>
      <c r="F17" s="408">
        <f t="shared" si="5"/>
        <v>7998590.8199999994</v>
      </c>
      <c r="G17" s="408">
        <f t="shared" si="5"/>
        <v>15997271.590000002</v>
      </c>
      <c r="H17" s="408">
        <f t="shared" si="5"/>
        <v>13474115.042415505</v>
      </c>
      <c r="I17" s="258">
        <f t="shared" si="1"/>
        <v>-2523156.5475844964</v>
      </c>
      <c r="J17" s="575">
        <f t="shared" si="2"/>
        <v>-0.18725953724172523</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c r="F19" s="733">
        <v>2989479.0899999994</v>
      </c>
      <c r="G19" s="733">
        <v>5979051.0099999998</v>
      </c>
      <c r="H19" s="733">
        <f t="shared" ref="H19:H22" si="6">D19/12*2</f>
        <v>6550130.3639231147</v>
      </c>
      <c r="I19" s="258">
        <f t="shared" si="1"/>
        <v>571079.35392311495</v>
      </c>
      <c r="J19" s="575">
        <f t="shared" si="2"/>
        <v>8.7185952369515055E-2</v>
      </c>
      <c r="K19" s="735">
        <f>D19</f>
        <v>39300782.18353869</v>
      </c>
    </row>
    <row r="20" spans="1:11" ht="12.75" customHeight="1" x14ac:dyDescent="0.25">
      <c r="A20" s="574" t="s">
        <v>1227</v>
      </c>
      <c r="B20" s="169"/>
      <c r="C20" s="748"/>
      <c r="D20" s="745">
        <v>30417611.026810348</v>
      </c>
      <c r="E20" s="733"/>
      <c r="F20" s="733">
        <v>350691.93</v>
      </c>
      <c r="G20" s="733">
        <v>701381.12</v>
      </c>
      <c r="H20" s="733">
        <f t="shared" si="6"/>
        <v>5069601.8378017247</v>
      </c>
      <c r="I20" s="258">
        <f t="shared" si="1"/>
        <v>4368220.7178017246</v>
      </c>
      <c r="J20" s="575">
        <f t="shared" si="2"/>
        <v>0.86164966353568073</v>
      </c>
      <c r="K20" s="735">
        <f>D20</f>
        <v>30417611.026810348</v>
      </c>
    </row>
    <row r="21" spans="1:11" ht="12.75" customHeight="1" x14ac:dyDescent="0.25">
      <c r="A21" s="574" t="s">
        <v>1228</v>
      </c>
      <c r="B21" s="169"/>
      <c r="C21" s="748"/>
      <c r="D21" s="745">
        <v>10972255.34036158</v>
      </c>
      <c r="E21" s="733"/>
      <c r="F21" s="733">
        <v>4482409.58</v>
      </c>
      <c r="G21" s="733">
        <v>8964819.1500000004</v>
      </c>
      <c r="H21" s="733">
        <f t="shared" si="6"/>
        <v>1828709.2233935967</v>
      </c>
      <c r="I21" s="258">
        <f t="shared" si="1"/>
        <v>-7136109.9266064037</v>
      </c>
      <c r="J21" s="575">
        <f t="shared" si="2"/>
        <v>-3.9022660548316623</v>
      </c>
      <c r="K21" s="735">
        <f>D21</f>
        <v>10972255.34036158</v>
      </c>
    </row>
    <row r="22" spans="1:11" ht="12.75" customHeight="1" x14ac:dyDescent="0.25">
      <c r="A22" s="574" t="s">
        <v>1229</v>
      </c>
      <c r="B22" s="169"/>
      <c r="C22" s="748"/>
      <c r="D22" s="745">
        <v>154041.70378242273</v>
      </c>
      <c r="E22" s="733"/>
      <c r="F22" s="733"/>
      <c r="G22" s="733"/>
      <c r="H22" s="733">
        <f t="shared" si="6"/>
        <v>25673.617297070454</v>
      </c>
      <c r="I22" s="258">
        <f t="shared" si="1"/>
        <v>25673.617297070454</v>
      </c>
      <c r="J22" s="575">
        <f t="shared" si="2"/>
        <v>1</v>
      </c>
      <c r="K22" s="735">
        <f>D22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176010.22</v>
      </c>
      <c r="G25" s="733">
        <v>352020.31000000006</v>
      </c>
      <c r="H25" s="733"/>
      <c r="I25" s="258">
        <f t="shared" si="1"/>
        <v>-352020.31000000006</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0</v>
      </c>
      <c r="F27" s="408">
        <f t="shared" si="7"/>
        <v>7225930.96</v>
      </c>
      <c r="G27" s="408">
        <f t="shared" si="7"/>
        <v>14451862.930000002</v>
      </c>
      <c r="H27" s="408">
        <f t="shared" si="7"/>
        <v>1067853.4058870806</v>
      </c>
      <c r="I27" s="258">
        <f t="shared" si="1"/>
        <v>-13384009.524112921</v>
      </c>
      <c r="J27" s="575">
        <f t="shared" si="2"/>
        <v>-12.53356448584311</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c r="F30" s="733">
        <v>7225930.96</v>
      </c>
      <c r="G30" s="733">
        <v>14451862.930000002</v>
      </c>
      <c r="H30" s="733">
        <f>D30/12*2</f>
        <v>1067853.4058870806</v>
      </c>
      <c r="I30" s="258">
        <f t="shared" si="1"/>
        <v>-13384009.524112921</v>
      </c>
      <c r="J30" s="575">
        <f t="shared" si="2"/>
        <v>-12.53356448584311</v>
      </c>
      <c r="K30" s="735">
        <f>D30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1711752.02</v>
      </c>
      <c r="G38" s="408">
        <f t="shared" si="8"/>
        <v>3423504.9699999997</v>
      </c>
      <c r="H38" s="408">
        <f t="shared" si="8"/>
        <v>0</v>
      </c>
      <c r="I38" s="258">
        <f t="shared" si="1"/>
        <v>-3423504.9699999997</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1711752.02</v>
      </c>
      <c r="G40" s="733">
        <v>3423504.9699999997</v>
      </c>
      <c r="H40" s="733"/>
      <c r="I40" s="258">
        <f t="shared" si="1"/>
        <v>-3423504.9699999997</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448580.55</v>
      </c>
      <c r="G45" s="408">
        <f t="shared" si="9"/>
        <v>897161.22</v>
      </c>
      <c r="H45" s="408">
        <f t="shared" si="9"/>
        <v>0</v>
      </c>
      <c r="I45" s="258">
        <f t="shared" si="1"/>
        <v>-897161.22</v>
      </c>
      <c r="J45" s="575" t="e">
        <f t="shared" si="2"/>
        <v>#DIV/0!</v>
      </c>
      <c r="K45" s="642">
        <f>SUM(K46:K52)</f>
        <v>0</v>
      </c>
    </row>
    <row r="46" spans="1:11" ht="12.75" customHeight="1" x14ac:dyDescent="0.25">
      <c r="A46" s="574" t="s">
        <v>1249</v>
      </c>
      <c r="B46" s="169"/>
      <c r="C46" s="748"/>
      <c r="D46" s="745"/>
      <c r="E46" s="733"/>
      <c r="F46" s="733">
        <v>448580.55</v>
      </c>
      <c r="G46" s="733">
        <v>897161.22</v>
      </c>
      <c r="H46" s="733"/>
      <c r="I46" s="258">
        <f t="shared" si="1"/>
        <v>-897161.22</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10133.23</v>
      </c>
      <c r="G53" s="408">
        <f t="shared" si="10"/>
        <v>20266.449999999997</v>
      </c>
      <c r="H53" s="408">
        <f t="shared" si="10"/>
        <v>0</v>
      </c>
      <c r="I53" s="258">
        <f t="shared" si="1"/>
        <v>-20266.449999999997</v>
      </c>
      <c r="J53" s="575" t="e">
        <f t="shared" si="2"/>
        <v>#DIV/0!</v>
      </c>
      <c r="K53" s="642">
        <f>SUM(K54:K62)</f>
        <v>0</v>
      </c>
    </row>
    <row r="54" spans="1:11" ht="12.75" customHeight="1" x14ac:dyDescent="0.25">
      <c r="A54" s="574" t="s">
        <v>1256</v>
      </c>
      <c r="B54" s="169"/>
      <c r="C54" s="748"/>
      <c r="D54" s="745"/>
      <c r="E54" s="733"/>
      <c r="F54" s="733">
        <v>10133.23</v>
      </c>
      <c r="G54" s="733">
        <v>20266.449999999997</v>
      </c>
      <c r="H54" s="733"/>
      <c r="I54" s="258">
        <f t="shared" si="1"/>
        <v>-20266.449999999997</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0</v>
      </c>
      <c r="F75" s="578">
        <f t="shared" si="13"/>
        <v>2536987.1599999992</v>
      </c>
      <c r="G75" s="578">
        <f t="shared" si="13"/>
        <v>5073974.2999999989</v>
      </c>
      <c r="H75" s="578">
        <f t="shared" si="13"/>
        <v>6388368.6214377712</v>
      </c>
      <c r="I75" s="578">
        <f t="shared" si="1"/>
        <v>1314394.3214377724</v>
      </c>
      <c r="J75" s="579">
        <f t="shared" si="2"/>
        <v>0.20574803980894166</v>
      </c>
      <c r="K75" s="580">
        <f>+K76+K99</f>
        <v>38330211.728626624</v>
      </c>
    </row>
    <row r="76" spans="1:11" ht="12.75" customHeight="1" x14ac:dyDescent="0.25">
      <c r="A76" s="518" t="s">
        <v>1268</v>
      </c>
      <c r="B76" s="169"/>
      <c r="C76" s="648">
        <f t="shared" ref="C76:H76" si="14">SUM(C77:C98)</f>
        <v>0</v>
      </c>
      <c r="D76" s="649">
        <f t="shared" si="14"/>
        <v>22212964.603795335</v>
      </c>
      <c r="E76" s="408">
        <f t="shared" si="14"/>
        <v>0</v>
      </c>
      <c r="F76" s="408">
        <f t="shared" si="14"/>
        <v>1397033.07</v>
      </c>
      <c r="G76" s="408">
        <f t="shared" si="14"/>
        <v>2794066.47</v>
      </c>
      <c r="H76" s="408">
        <f t="shared" si="14"/>
        <v>3702160.7672992223</v>
      </c>
      <c r="I76" s="258">
        <f t="shared" si="1"/>
        <v>908094.29729922209</v>
      </c>
      <c r="J76" s="575">
        <f t="shared" si="2"/>
        <v>0.24528764534493447</v>
      </c>
      <c r="K76" s="642">
        <f>SUM(K77:K98)</f>
        <v>22212964.603795335</v>
      </c>
    </row>
    <row r="77" spans="1:11" ht="12.75" customHeight="1" x14ac:dyDescent="0.25">
      <c r="A77" s="574" t="s">
        <v>1269</v>
      </c>
      <c r="B77" s="169"/>
      <c r="C77" s="748"/>
      <c r="D77" s="753">
        <v>216338.10110699103</v>
      </c>
      <c r="E77" s="733"/>
      <c r="F77" s="733"/>
      <c r="G77" s="733"/>
      <c r="H77" s="733">
        <f>D77/12*2</f>
        <v>36056.350184498508</v>
      </c>
      <c r="I77" s="44">
        <f t="shared" si="1"/>
        <v>36056.350184498508</v>
      </c>
      <c r="J77" s="124">
        <f t="shared" si="2"/>
        <v>1</v>
      </c>
      <c r="K77" s="735">
        <f>D77</f>
        <v>216338.10110699103</v>
      </c>
    </row>
    <row r="78" spans="1:11" ht="12.75" customHeight="1" x14ac:dyDescent="0.25">
      <c r="A78" s="574" t="s">
        <v>1270</v>
      </c>
      <c r="B78" s="169"/>
      <c r="C78" s="748"/>
      <c r="D78" s="753"/>
      <c r="E78" s="733"/>
      <c r="F78" s="733">
        <v>303295.4599999999</v>
      </c>
      <c r="G78" s="733">
        <v>606591.25</v>
      </c>
      <c r="H78" s="733"/>
      <c r="I78" s="44">
        <f t="shared" si="1"/>
        <v>-606591.25</v>
      </c>
      <c r="J78" s="124" t="e">
        <f t="shared" si="2"/>
        <v>#DIV/0!</v>
      </c>
      <c r="K78" s="735"/>
    </row>
    <row r="79" spans="1:11" ht="12.75" customHeight="1" x14ac:dyDescent="0.25">
      <c r="A79" s="574" t="s">
        <v>1271</v>
      </c>
      <c r="B79" s="169"/>
      <c r="C79" s="748"/>
      <c r="D79" s="753"/>
      <c r="E79" s="733"/>
      <c r="F79" s="733">
        <v>42468.82</v>
      </c>
      <c r="G79" s="733">
        <v>84937.55</v>
      </c>
      <c r="H79" s="733"/>
      <c r="I79" s="44">
        <f t="shared" si="1"/>
        <v>-84937.55</v>
      </c>
      <c r="J79" s="124" t="e">
        <f t="shared" si="2"/>
        <v>#DIV/0!</v>
      </c>
      <c r="K79" s="735"/>
    </row>
    <row r="80" spans="1:11" ht="12.75" customHeight="1" x14ac:dyDescent="0.25">
      <c r="A80" s="574" t="s">
        <v>1272</v>
      </c>
      <c r="B80" s="169"/>
      <c r="C80" s="748"/>
      <c r="D80" s="753">
        <v>11576837.362840936</v>
      </c>
      <c r="E80" s="733"/>
      <c r="F80" s="733">
        <v>59173.659999999996</v>
      </c>
      <c r="G80" s="733">
        <v>118347.51</v>
      </c>
      <c r="H80" s="733">
        <f t="shared" ref="H80:H81" si="15">D80/12*2</f>
        <v>1929472.8938068226</v>
      </c>
      <c r="I80" s="44">
        <f t="shared" si="1"/>
        <v>1811125.3838068226</v>
      </c>
      <c r="J80" s="124">
        <f t="shared" si="2"/>
        <v>0.93866329484085054</v>
      </c>
      <c r="K80" s="735">
        <f>D80</f>
        <v>11576837.362840936</v>
      </c>
    </row>
    <row r="81" spans="1:11" ht="12.75" customHeight="1" x14ac:dyDescent="0.25">
      <c r="A81" s="574" t="s">
        <v>1273</v>
      </c>
      <c r="B81" s="169"/>
      <c r="C81" s="748"/>
      <c r="D81" s="753">
        <v>4052316.8497124896</v>
      </c>
      <c r="E81" s="733"/>
      <c r="F81" s="733">
        <v>52548.43</v>
      </c>
      <c r="G81" s="733">
        <v>105096.91</v>
      </c>
      <c r="H81" s="733">
        <f t="shared" si="15"/>
        <v>675386.14161874831</v>
      </c>
      <c r="I81" s="44">
        <f t="shared" si="1"/>
        <v>570289.23161874828</v>
      </c>
      <c r="J81" s="124">
        <f t="shared" si="2"/>
        <v>0.84438989264999365</v>
      </c>
      <c r="K81" s="735">
        <f>D81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32249.24</v>
      </c>
      <c r="G85" s="733">
        <v>64498.44</v>
      </c>
      <c r="H85" s="733"/>
      <c r="I85" s="44">
        <f t="shared" si="1"/>
        <v>-64498.44</v>
      </c>
      <c r="J85" s="124" t="e">
        <f t="shared" si="2"/>
        <v>#DIV/0!</v>
      </c>
      <c r="K85" s="735"/>
    </row>
    <row r="86" spans="1:11" ht="12.75" customHeight="1" x14ac:dyDescent="0.25">
      <c r="A86" s="574" t="s">
        <v>553</v>
      </c>
      <c r="B86" s="169"/>
      <c r="C86" s="748"/>
      <c r="D86" s="753">
        <v>5202994.7779857824</v>
      </c>
      <c r="E86" s="733"/>
      <c r="F86" s="733">
        <v>228590.26</v>
      </c>
      <c r="G86" s="733">
        <v>457180.63</v>
      </c>
      <c r="H86" s="733">
        <f>D86/12*2</f>
        <v>867165.79633096373</v>
      </c>
      <c r="I86" s="44">
        <f t="shared" si="1"/>
        <v>409985.16633096372</v>
      </c>
      <c r="J86" s="124">
        <f t="shared" si="2"/>
        <v>0.47278752006322006</v>
      </c>
      <c r="K86" s="735">
        <f>D86</f>
        <v>5202994.7779857824</v>
      </c>
    </row>
    <row r="87" spans="1:11" ht="12.75" customHeight="1" x14ac:dyDescent="0.25">
      <c r="A87" s="574" t="s">
        <v>1277</v>
      </c>
      <c r="B87" s="169"/>
      <c r="C87" s="748"/>
      <c r="D87" s="753"/>
      <c r="E87" s="733"/>
      <c r="F87" s="733">
        <v>37931.279999999999</v>
      </c>
      <c r="G87" s="733">
        <v>75862.41</v>
      </c>
      <c r="H87" s="733"/>
      <c r="I87" s="44">
        <f t="shared" si="1"/>
        <v>-75862.41</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c r="F89" s="733"/>
      <c r="G89" s="733"/>
      <c r="H89" s="733">
        <f>D89/12*2</f>
        <v>116182.45833580392</v>
      </c>
      <c r="I89" s="44">
        <f t="shared" si="1"/>
        <v>116182.45833580392</v>
      </c>
      <c r="J89" s="124">
        <f t="shared" si="2"/>
        <v>1</v>
      </c>
      <c r="K89" s="735">
        <f>D89</f>
        <v>697094.75001482351</v>
      </c>
    </row>
    <row r="90" spans="1:11" ht="12.75" customHeight="1" x14ac:dyDescent="0.25">
      <c r="A90" s="574" t="s">
        <v>1279</v>
      </c>
      <c r="B90" s="169"/>
      <c r="C90" s="748"/>
      <c r="D90" s="753"/>
      <c r="E90" s="733"/>
      <c r="F90" s="733">
        <v>8163.88</v>
      </c>
      <c r="G90" s="733">
        <v>16327.79</v>
      </c>
      <c r="H90" s="733"/>
      <c r="I90" s="44">
        <f t="shared" si="1"/>
        <v>-16327.79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c r="F92" s="733">
        <v>88002.99</v>
      </c>
      <c r="G92" s="733">
        <v>176006.06</v>
      </c>
      <c r="H92" s="733">
        <f>D92/12*2</f>
        <v>77897.127022385321</v>
      </c>
      <c r="I92" s="44">
        <f t="shared" si="1"/>
        <v>-98108.932977614677</v>
      </c>
      <c r="J92" s="124">
        <f t="shared" si="2"/>
        <v>-1.2594679255554713</v>
      </c>
      <c r="K92" s="735">
        <f>D92</f>
        <v>467382.76213431195</v>
      </c>
    </row>
    <row r="93" spans="1:11" ht="12.75" customHeight="1" x14ac:dyDescent="0.25">
      <c r="A93" s="574" t="s">
        <v>441</v>
      </c>
      <c r="B93" s="169"/>
      <c r="C93" s="748"/>
      <c r="D93" s="753"/>
      <c r="E93" s="733"/>
      <c r="F93" s="733">
        <v>488453.94</v>
      </c>
      <c r="G93" s="733">
        <v>976907.73</v>
      </c>
      <c r="H93" s="733"/>
      <c r="I93" s="44">
        <f t="shared" si="1"/>
        <v>-976907.73</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56155.11</v>
      </c>
      <c r="G96" s="733">
        <v>112310.19</v>
      </c>
      <c r="H96" s="733"/>
      <c r="I96" s="44">
        <f t="shared" si="1"/>
        <v>-112310.19</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16117247.124831293</v>
      </c>
      <c r="E99" s="408">
        <f t="shared" si="16"/>
        <v>0</v>
      </c>
      <c r="F99" s="408">
        <f t="shared" si="16"/>
        <v>1139954.0899999994</v>
      </c>
      <c r="G99" s="408">
        <f t="shared" si="16"/>
        <v>2279907.8299999982</v>
      </c>
      <c r="H99" s="408">
        <f t="shared" si="16"/>
        <v>2686207.854138549</v>
      </c>
      <c r="I99" s="258">
        <f t="shared" si="1"/>
        <v>406300.02413855074</v>
      </c>
      <c r="J99" s="575">
        <f t="shared" si="2"/>
        <v>0.15125412708200453</v>
      </c>
      <c r="K99" s="642">
        <f>SUM(K100:K102)</f>
        <v>16117247.124831293</v>
      </c>
    </row>
    <row r="100" spans="1:11" ht="12.75" customHeight="1" x14ac:dyDescent="0.25">
      <c r="A100" s="574" t="s">
        <v>1286</v>
      </c>
      <c r="B100" s="169"/>
      <c r="C100" s="748"/>
      <c r="D100" s="753">
        <v>43464.979285039968</v>
      </c>
      <c r="E100" s="733"/>
      <c r="F100" s="733"/>
      <c r="G100" s="733"/>
      <c r="H100" s="733">
        <f t="shared" ref="H100:H102" si="17">D100/12*2</f>
        <v>7244.163214173328</v>
      </c>
      <c r="I100" s="44">
        <f t="shared" si="1"/>
        <v>7244.163214173328</v>
      </c>
      <c r="J100" s="124">
        <f t="shared" si="2"/>
        <v>1</v>
      </c>
      <c r="K100" s="735">
        <f>D100</f>
        <v>43464.979285039968</v>
      </c>
    </row>
    <row r="101" spans="1:11" ht="12.75" customHeight="1" x14ac:dyDescent="0.25">
      <c r="A101" s="574" t="s">
        <v>1287</v>
      </c>
      <c r="B101" s="169"/>
      <c r="C101" s="748"/>
      <c r="D101" s="753">
        <v>8669487.8244611993</v>
      </c>
      <c r="E101" s="733"/>
      <c r="F101" s="733">
        <v>1139954.0899999994</v>
      </c>
      <c r="G101" s="733">
        <v>2279907.8299999982</v>
      </c>
      <c r="H101" s="733">
        <f t="shared" si="17"/>
        <v>1444914.6374102</v>
      </c>
      <c r="I101" s="44">
        <f>H101-G101</f>
        <v>-834993.19258979824</v>
      </c>
      <c r="J101" s="124">
        <f>IF(I101=0,"",I101/H101)</f>
        <v>-0.57788409845885602</v>
      </c>
      <c r="K101" s="735">
        <f>D101</f>
        <v>8669487.8244611993</v>
      </c>
    </row>
    <row r="102" spans="1:11" ht="12.75" customHeight="1" x14ac:dyDescent="0.25">
      <c r="A102" s="574" t="s">
        <v>1219</v>
      </c>
      <c r="B102" s="169"/>
      <c r="C102" s="748"/>
      <c r="D102" s="753">
        <v>7404294.3210850535</v>
      </c>
      <c r="E102" s="733"/>
      <c r="F102" s="733"/>
      <c r="G102" s="733"/>
      <c r="H102" s="733">
        <f t="shared" si="17"/>
        <v>1234049.0535141756</v>
      </c>
      <c r="I102" s="44">
        <f t="shared" si="1"/>
        <v>1234049.0535141756</v>
      </c>
      <c r="J102" s="124">
        <f t="shared" si="2"/>
        <v>1</v>
      </c>
      <c r="K102" s="735">
        <f>D102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0</v>
      </c>
      <c r="D117" s="577">
        <f t="shared" si="22"/>
        <v>163023969.56765977</v>
      </c>
      <c r="E117" s="578">
        <f t="shared" si="22"/>
        <v>0</v>
      </c>
      <c r="F117" s="578">
        <f t="shared" si="22"/>
        <v>2205713.9700000011</v>
      </c>
      <c r="G117" s="578">
        <f t="shared" si="22"/>
        <v>4411627.6899999995</v>
      </c>
      <c r="H117" s="578">
        <f t="shared" si="22"/>
        <v>27170661.594609961</v>
      </c>
      <c r="I117" s="578">
        <f t="shared" si="1"/>
        <v>22759033.904609963</v>
      </c>
      <c r="J117" s="579">
        <f t="shared" si="2"/>
        <v>0.8376326732185585</v>
      </c>
      <c r="K117" s="580">
        <f>+K118+K130</f>
        <v>163023969.56765977</v>
      </c>
    </row>
    <row r="118" spans="1:11" ht="12.75" customHeight="1" x14ac:dyDescent="0.25">
      <c r="A118" s="518" t="s">
        <v>1298</v>
      </c>
      <c r="B118" s="169"/>
      <c r="C118" s="648">
        <f t="shared" ref="C118:H118" si="23">SUM(C119:C129)</f>
        <v>0</v>
      </c>
      <c r="D118" s="649">
        <f t="shared" si="23"/>
        <v>163023969.56765977</v>
      </c>
      <c r="E118" s="408">
        <f t="shared" si="23"/>
        <v>0</v>
      </c>
      <c r="F118" s="408">
        <f t="shared" si="23"/>
        <v>2202716.5100000012</v>
      </c>
      <c r="G118" s="408">
        <f t="shared" si="23"/>
        <v>4405632.7399999993</v>
      </c>
      <c r="H118" s="408">
        <f t="shared" si="23"/>
        <v>27170661.594609961</v>
      </c>
      <c r="I118" s="258">
        <f t="shared" si="1"/>
        <v>22765028.854609963</v>
      </c>
      <c r="J118" s="575">
        <f t="shared" si="2"/>
        <v>0.83785331377893368</v>
      </c>
      <c r="K118" s="642">
        <f>SUM(K119:K129)</f>
        <v>163023969.56765977</v>
      </c>
    </row>
    <row r="119" spans="1:11" ht="12.75" customHeight="1" x14ac:dyDescent="0.25">
      <c r="A119" s="574" t="s">
        <v>1299</v>
      </c>
      <c r="B119" s="169"/>
      <c r="C119" s="748"/>
      <c r="D119" s="753">
        <v>108029891.92018634</v>
      </c>
      <c r="E119" s="733"/>
      <c r="F119" s="733">
        <v>2132321.100000001</v>
      </c>
      <c r="G119" s="733">
        <v>4264841.9799999995</v>
      </c>
      <c r="H119" s="733">
        <f>D119/12*2</f>
        <v>18004981.986697722</v>
      </c>
      <c r="I119" s="44">
        <f t="shared" si="1"/>
        <v>13740140.006697722</v>
      </c>
      <c r="J119" s="124">
        <f t="shared" si="2"/>
        <v>0.7631298946507743</v>
      </c>
      <c r="K119" s="735">
        <f>D119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c r="F122" s="733">
        <v>70395.41</v>
      </c>
      <c r="G122" s="733">
        <v>140790.75999999998</v>
      </c>
      <c r="H122" s="733">
        <f>D122/12*2</f>
        <v>288137.26292528177</v>
      </c>
      <c r="I122" s="44">
        <f t="shared" si="1"/>
        <v>147346.50292528179</v>
      </c>
      <c r="J122" s="124">
        <f t="shared" si="2"/>
        <v>0.51137607621229786</v>
      </c>
      <c r="K122" s="735">
        <f>D122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c r="F129" s="733"/>
      <c r="G129" s="733"/>
      <c r="H129" s="733">
        <f>D129/12*2</f>
        <v>8877542.3449869547</v>
      </c>
      <c r="I129" s="44">
        <f t="shared" si="1"/>
        <v>8877542.3449869547</v>
      </c>
      <c r="J129" s="124">
        <f t="shared" si="2"/>
        <v>1</v>
      </c>
      <c r="K129" s="735">
        <f>D129</f>
        <v>53265254.069921724</v>
      </c>
    </row>
    <row r="130" spans="1:11" ht="12.75" customHeight="1" x14ac:dyDescent="0.25">
      <c r="A130" s="518" t="s">
        <v>711</v>
      </c>
      <c r="B130" s="169"/>
      <c r="C130" s="648">
        <f t="shared" ref="C130:H130" si="24">SUM(C131:C133)</f>
        <v>0</v>
      </c>
      <c r="D130" s="649">
        <f t="shared" si="24"/>
        <v>0</v>
      </c>
      <c r="E130" s="408">
        <f t="shared" si="24"/>
        <v>0</v>
      </c>
      <c r="F130" s="408">
        <f t="shared" si="24"/>
        <v>2997.46</v>
      </c>
      <c r="G130" s="408">
        <f t="shared" si="24"/>
        <v>5994.95</v>
      </c>
      <c r="H130" s="408">
        <f t="shared" si="24"/>
        <v>0</v>
      </c>
      <c r="I130" s="258">
        <f t="shared" si="1"/>
        <v>-5994.95</v>
      </c>
      <c r="J130" s="575" t="e">
        <f t="shared" si="2"/>
        <v>#DIV/0!</v>
      </c>
      <c r="K130" s="642">
        <f>SUM(K131:K133)</f>
        <v>0</v>
      </c>
    </row>
    <row r="131" spans="1:11" ht="12.75" customHeight="1" x14ac:dyDescent="0.25">
      <c r="A131" s="574" t="s">
        <v>1309</v>
      </c>
      <c r="B131" s="169"/>
      <c r="C131" s="748"/>
      <c r="D131" s="753"/>
      <c r="E131" s="733"/>
      <c r="F131" s="733">
        <v>2997.46</v>
      </c>
      <c r="G131" s="733">
        <v>5994.95</v>
      </c>
      <c r="H131" s="733"/>
      <c r="I131" s="44">
        <f t="shared" si="1"/>
        <v>-5994.95</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0</v>
      </c>
      <c r="D138" s="941">
        <f t="shared" si="27"/>
        <v>84895040.004187733</v>
      </c>
      <c r="E138" s="942">
        <f t="shared" si="27"/>
        <v>0</v>
      </c>
      <c r="F138" s="942">
        <f t="shared" si="27"/>
        <v>889563.87999999977</v>
      </c>
      <c r="G138" s="942">
        <f t="shared" si="27"/>
        <v>1779127.6999999995</v>
      </c>
      <c r="H138" s="942">
        <f t="shared" si="27"/>
        <v>14149173.334031288</v>
      </c>
      <c r="I138" s="942">
        <f t="shared" ref="I138:I146" si="28">H138-G138</f>
        <v>12370045.634031288</v>
      </c>
      <c r="J138" s="324">
        <f t="shared" si="26"/>
        <v>0.87425924766071816</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0</v>
      </c>
      <c r="D140" s="649">
        <f t="shared" si="29"/>
        <v>84895040.004187733</v>
      </c>
      <c r="E140" s="408">
        <f t="shared" si="29"/>
        <v>0</v>
      </c>
      <c r="F140" s="408">
        <f t="shared" si="29"/>
        <v>889563.87999999977</v>
      </c>
      <c r="G140" s="408">
        <f t="shared" si="29"/>
        <v>1779127.6999999995</v>
      </c>
      <c r="H140" s="408">
        <f t="shared" si="29"/>
        <v>14149173.334031288</v>
      </c>
      <c r="I140" s="258">
        <f t="shared" si="28"/>
        <v>12370045.634031288</v>
      </c>
      <c r="J140" s="575">
        <f t="shared" si="26"/>
        <v>0.87425924766071816</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c r="D144" s="753">
        <v>83121985.914557993</v>
      </c>
      <c r="E144" s="733"/>
      <c r="F144" s="733">
        <v>889563.87999999977</v>
      </c>
      <c r="G144" s="733">
        <v>1779127.6999999995</v>
      </c>
      <c r="H144" s="733">
        <f t="shared" ref="H144:H145" si="30">D144/12*2</f>
        <v>13853664.319092998</v>
      </c>
      <c r="I144" s="44">
        <f t="shared" si="28"/>
        <v>12074536.619092999</v>
      </c>
      <c r="J144" s="124">
        <f t="shared" si="26"/>
        <v>0.87157710342757322</v>
      </c>
      <c r="K144" s="735">
        <f>D144</f>
        <v>83121985.914557993</v>
      </c>
    </row>
    <row r="145" spans="1:12" ht="12.75" customHeight="1" x14ac:dyDescent="0.25">
      <c r="A145" s="574" t="s">
        <v>1319</v>
      </c>
      <c r="B145" s="169"/>
      <c r="C145" s="748"/>
      <c r="D145" s="753">
        <v>1773054.0896297402</v>
      </c>
      <c r="E145" s="733"/>
      <c r="F145" s="733"/>
      <c r="G145" s="733"/>
      <c r="H145" s="733">
        <f t="shared" si="30"/>
        <v>295509.01493829006</v>
      </c>
      <c r="I145" s="44">
        <f t="shared" si="28"/>
        <v>295509.01493829006</v>
      </c>
      <c r="J145" s="124">
        <f t="shared" si="26"/>
        <v>1</v>
      </c>
      <c r="K145" s="735">
        <f>D145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0</v>
      </c>
      <c r="D148" s="577">
        <f t="shared" si="31"/>
        <v>65065902.198033363</v>
      </c>
      <c r="E148" s="578">
        <f t="shared" si="31"/>
        <v>0</v>
      </c>
      <c r="F148" s="578">
        <f t="shared" si="31"/>
        <v>810460.18999999971</v>
      </c>
      <c r="G148" s="578">
        <f t="shared" si="31"/>
        <v>1613553.8200000005</v>
      </c>
      <c r="H148" s="578">
        <f t="shared" si="31"/>
        <v>10844317.03300556</v>
      </c>
      <c r="I148" s="578">
        <f>H148-G148</f>
        <v>9230763.2130055595</v>
      </c>
      <c r="J148" s="324">
        <f>IF(I148=0,"",I148/H148)</f>
        <v>0.85120742826966256</v>
      </c>
      <c r="K148" s="580">
        <f>SUM(K149)</f>
        <v>65065902.198033363</v>
      </c>
    </row>
    <row r="149" spans="1:12" ht="12.75" customHeight="1" x14ac:dyDescent="0.25">
      <c r="A149" s="518" t="s">
        <v>1321</v>
      </c>
      <c r="B149" s="169"/>
      <c r="C149" s="748"/>
      <c r="D149" s="753">
        <v>65065902.198033363</v>
      </c>
      <c r="E149" s="733"/>
      <c r="F149" s="733">
        <v>810460.18999999971</v>
      </c>
      <c r="G149" s="733">
        <v>1613553.8200000005</v>
      </c>
      <c r="H149" s="733">
        <f>D149/12*2</f>
        <v>10844317.03300556</v>
      </c>
      <c r="I149" s="44">
        <f>H149-G149</f>
        <v>9230763.2130055595</v>
      </c>
      <c r="J149" s="124">
        <f>IF(I149=0,"",I149/H149)</f>
        <v>0.85120742826966256</v>
      </c>
      <c r="K149" s="735">
        <f>D149</f>
        <v>65065902.198033363</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0</v>
      </c>
      <c r="D151" s="577">
        <f t="shared" si="32"/>
        <v>27965528.287261501</v>
      </c>
      <c r="E151" s="578">
        <f t="shared" si="32"/>
        <v>0</v>
      </c>
      <c r="F151" s="578">
        <f t="shared" si="32"/>
        <v>138921.60999999999</v>
      </c>
      <c r="G151" s="578">
        <f t="shared" si="32"/>
        <v>277830.5</v>
      </c>
      <c r="H151" s="578">
        <f t="shared" si="32"/>
        <v>4660921.3812102498</v>
      </c>
      <c r="I151" s="578">
        <f>H151-G151</f>
        <v>4383090.8812102498</v>
      </c>
      <c r="J151" s="324">
        <f>IF(I151=0,"",I151/H151)</f>
        <v>0.9403915068981793</v>
      </c>
      <c r="K151" s="580">
        <f>SUM(K152)</f>
        <v>27965528.287261501</v>
      </c>
    </row>
    <row r="152" spans="1:12" ht="12.75" customHeight="1" x14ac:dyDescent="0.25">
      <c r="A152" s="518" t="s">
        <v>1322</v>
      </c>
      <c r="B152" s="169"/>
      <c r="C152" s="748"/>
      <c r="D152" s="753">
        <v>27965528.287261501</v>
      </c>
      <c r="E152" s="733"/>
      <c r="F152" s="733">
        <v>138921.60999999999</v>
      </c>
      <c r="G152" s="733">
        <v>277830.5</v>
      </c>
      <c r="H152" s="733">
        <f>D152/12*2</f>
        <v>4660921.3812102498</v>
      </c>
      <c r="I152" s="44">
        <f>H152-G152</f>
        <v>4383090.8812102498</v>
      </c>
      <c r="J152" s="124">
        <f>IF(I152=0,"",I152/H152)</f>
        <v>0.9403915068981793</v>
      </c>
      <c r="K152" s="735">
        <f>D152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0</v>
      </c>
      <c r="D154" s="577">
        <f t="shared" si="33"/>
        <v>7418705.5248501254</v>
      </c>
      <c r="E154" s="578">
        <f t="shared" si="33"/>
        <v>0</v>
      </c>
      <c r="F154" s="578">
        <f t="shared" si="33"/>
        <v>752172.81</v>
      </c>
      <c r="G154" s="578">
        <f t="shared" si="33"/>
        <v>1504412.4100000008</v>
      </c>
      <c r="H154" s="578">
        <f t="shared" si="33"/>
        <v>1236450.9208083542</v>
      </c>
      <c r="I154" s="578">
        <f>H154-G154</f>
        <v>-267961.48919164669</v>
      </c>
      <c r="J154" s="324">
        <f>IF(I154=0,"",I154/H154)</f>
        <v>-0.21671825762114486</v>
      </c>
      <c r="K154" s="580">
        <f>SUM(K155)</f>
        <v>7418705.5248501254</v>
      </c>
    </row>
    <row r="155" spans="1:12" ht="12.75" customHeight="1" x14ac:dyDescent="0.25">
      <c r="A155" s="518" t="s">
        <v>1323</v>
      </c>
      <c r="B155" s="169"/>
      <c r="C155" s="748"/>
      <c r="D155" s="753">
        <v>7418705.5248501254</v>
      </c>
      <c r="E155" s="733"/>
      <c r="F155" s="733">
        <v>752172.81</v>
      </c>
      <c r="G155" s="733">
        <v>1504412.4100000008</v>
      </c>
      <c r="H155" s="733">
        <f>D155/12*2</f>
        <v>1236450.9208083542</v>
      </c>
      <c r="I155" s="44">
        <f>H155-G155</f>
        <v>-267961.48919164669</v>
      </c>
      <c r="J155" s="124">
        <f>IF(I155=0,"",I155/H155)</f>
        <v>-0.21671825762114486</v>
      </c>
      <c r="K155" s="735">
        <f>D155</f>
        <v>7418705.5248501254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0</v>
      </c>
      <c r="D157" s="577">
        <f t="shared" si="34"/>
        <v>106660.31115601346</v>
      </c>
      <c r="E157" s="578">
        <f t="shared" si="34"/>
        <v>0</v>
      </c>
      <c r="F157" s="578">
        <f t="shared" si="34"/>
        <v>1203723.0000000002</v>
      </c>
      <c r="G157" s="578">
        <f t="shared" si="34"/>
        <v>2408884</v>
      </c>
      <c r="H157" s="578">
        <f t="shared" si="34"/>
        <v>17776.718526002242</v>
      </c>
      <c r="I157" s="578">
        <f>H157-G157</f>
        <v>-2391107.281473998</v>
      </c>
      <c r="J157" s="324">
        <f>IF(I157=0,"",I157/H157)</f>
        <v>-134.5077989493108</v>
      </c>
      <c r="K157" s="580">
        <f>SUM(K158)</f>
        <v>106660.31115601346</v>
      </c>
    </row>
    <row r="158" spans="1:12" ht="12.75" customHeight="1" x14ac:dyDescent="0.25">
      <c r="A158" s="518" t="s">
        <v>1324</v>
      </c>
      <c r="B158" s="169"/>
      <c r="C158" s="748"/>
      <c r="D158" s="753">
        <v>106660.31115601346</v>
      </c>
      <c r="E158" s="733"/>
      <c r="F158" s="733">
        <v>1203723.0000000002</v>
      </c>
      <c r="G158" s="733">
        <v>2408884</v>
      </c>
      <c r="H158" s="733">
        <f>D158/12*2</f>
        <v>17776.718526002242</v>
      </c>
      <c r="I158" s="44">
        <f>H158-G158</f>
        <v>-2391107.281473998</v>
      </c>
      <c r="J158" s="124">
        <f>IF(I158=0,"",I158/H158)</f>
        <v>-134.5077989493108</v>
      </c>
      <c r="K158" s="735">
        <f>D158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0</v>
      </c>
      <c r="D166" s="271">
        <f t="shared" si="37"/>
        <v>488991448.27473986</v>
      </c>
      <c r="E166" s="55">
        <f t="shared" si="37"/>
        <v>0</v>
      </c>
      <c r="F166" s="55">
        <f t="shared" si="37"/>
        <v>36095228.300000004</v>
      </c>
      <c r="G166" s="55">
        <f t="shared" si="37"/>
        <v>72184874.329999998</v>
      </c>
      <c r="H166" s="55">
        <f t="shared" si="37"/>
        <v>81491736.539688364</v>
      </c>
      <c r="I166" s="55">
        <f t="shared" si="1"/>
        <v>9306862.2096883655</v>
      </c>
      <c r="J166" s="290">
        <f t="shared" si="2"/>
        <v>0.11420620795282363</v>
      </c>
      <c r="K166" s="235">
        <f>K7+K75+K103+K110+K117+K135+K138+K148+K151+K154+K157+K160+K163</f>
        <v>488991448.27473986</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1" activePane="bottomRight" state="frozen"/>
      <selection pane="topRight"/>
      <selection pane="bottomLeft"/>
      <selection pane="bottomRight" activeCell="G166" sqref="G166"/>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"&amp;S71Se&amp; " - "&amp;Head57</f>
        <v>KZN225 Msunduzi - Supporting Table SC13e Monthly Budget Statement - capital expenditure on upgrading of existing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0</v>
      </c>
      <c r="F7" s="102">
        <f t="shared" si="0"/>
        <v>26300104.990000002</v>
      </c>
      <c r="G7" s="102">
        <f t="shared" si="0"/>
        <v>29128913.860000003</v>
      </c>
      <c r="H7" s="102">
        <f t="shared" si="0"/>
        <v>9505327.0029391646</v>
      </c>
      <c r="I7" s="101">
        <f t="shared" ref="I7:I133" si="1">H7-G7</f>
        <v>-19623586.857060838</v>
      </c>
      <c r="J7" s="579">
        <f t="shared" ref="J7:J136" si="2">IF(I7=0,"",I7/H7)</f>
        <v>-2.06448308942901</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0</v>
      </c>
      <c r="F8" s="608">
        <f t="shared" si="3"/>
        <v>15044831.870000001</v>
      </c>
      <c r="G8" s="608">
        <f t="shared" si="3"/>
        <v>15117515.150000002</v>
      </c>
      <c r="H8" s="608">
        <f t="shared" si="3"/>
        <v>5209219.1215777714</v>
      </c>
      <c r="I8" s="258">
        <f t="shared" si="1"/>
        <v>-9908296.0284222309</v>
      </c>
      <c r="J8" s="575">
        <f t="shared" si="2"/>
        <v>-1.9020693499683692</v>
      </c>
      <c r="K8" s="610">
        <f>SUM(K9:K12)</f>
        <v>31255314.729466628</v>
      </c>
    </row>
    <row r="9" spans="1:11" ht="12.75" customHeight="1" x14ac:dyDescent="0.25">
      <c r="A9" s="574" t="s">
        <v>168</v>
      </c>
      <c r="B9" s="169"/>
      <c r="C9" s="748"/>
      <c r="D9" s="745">
        <v>31255314.729466628</v>
      </c>
      <c r="E9" s="733"/>
      <c r="F9" s="733">
        <v>15044831.870000001</v>
      </c>
      <c r="G9" s="733">
        <v>15117515.150000002</v>
      </c>
      <c r="H9" s="733">
        <f>D9/12*2</f>
        <v>5209219.1215777714</v>
      </c>
      <c r="I9" s="258">
        <f t="shared" si="1"/>
        <v>-9908296.0284222309</v>
      </c>
      <c r="J9" s="575">
        <f t="shared" si="2"/>
        <v>-1.9020693499683692</v>
      </c>
      <c r="K9" s="735">
        <f>D9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0</v>
      </c>
      <c r="F17" s="408">
        <f t="shared" si="5"/>
        <v>0</v>
      </c>
      <c r="G17" s="408">
        <f t="shared" si="5"/>
        <v>0</v>
      </c>
      <c r="H17" s="408">
        <f t="shared" si="5"/>
        <v>2697579.974927146</v>
      </c>
      <c r="I17" s="258">
        <f t="shared" si="1"/>
        <v>2697579.974927146</v>
      </c>
      <c r="J17" s="575">
        <f t="shared" si="2"/>
        <v>1</v>
      </c>
      <c r="K17" s="642">
        <f>SUM(K18:K26)</f>
        <v>16185479.849562876</v>
      </c>
    </row>
    <row r="18" spans="1:11" ht="12.75" customHeight="1" x14ac:dyDescent="0.25">
      <c r="A18" s="574" t="s">
        <v>1225</v>
      </c>
      <c r="B18" s="169"/>
      <c r="C18" s="748"/>
      <c r="D18" s="745">
        <v>16185479.849562876</v>
      </c>
      <c r="E18" s="733"/>
      <c r="F18" s="733"/>
      <c r="G18" s="733"/>
      <c r="H18" s="733">
        <f>D18/12*2</f>
        <v>2697579.974927146</v>
      </c>
      <c r="I18" s="258">
        <f t="shared" si="1"/>
        <v>2697579.974927146</v>
      </c>
      <c r="J18" s="575">
        <f t="shared" si="2"/>
        <v>1</v>
      </c>
      <c r="K18" s="735">
        <f>D18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0</v>
      </c>
      <c r="F27" s="408">
        <f t="shared" si="6"/>
        <v>-164706.5</v>
      </c>
      <c r="G27" s="408">
        <f t="shared" si="6"/>
        <v>1718639.01</v>
      </c>
      <c r="H27" s="408">
        <f t="shared" si="6"/>
        <v>910535.07769791735</v>
      </c>
      <c r="I27" s="258">
        <f t="shared" si="1"/>
        <v>-808103.93230208266</v>
      </c>
      <c r="J27" s="575">
        <f t="shared" si="2"/>
        <v>-0.88750444886230107</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c r="F30" s="733">
        <v>-164706.5</v>
      </c>
      <c r="G30" s="733">
        <v>-164706.5</v>
      </c>
      <c r="H30" s="733">
        <f>D30/12*2</f>
        <v>910535.07769791735</v>
      </c>
      <c r="I30" s="258">
        <f t="shared" si="1"/>
        <v>1075241.5776979174</v>
      </c>
      <c r="J30" s="575">
        <f t="shared" si="2"/>
        <v>1.1808897911065912</v>
      </c>
      <c r="K30" s="735">
        <f>D30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1883345.51</v>
      </c>
      <c r="H34" s="733"/>
      <c r="I34" s="258">
        <f t="shared" si="1"/>
        <v>-1883345.51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9887971.9700000007</v>
      </c>
      <c r="G38" s="408">
        <f t="shared" si="7"/>
        <v>10760752.050000001</v>
      </c>
      <c r="H38" s="408">
        <f t="shared" si="7"/>
        <v>0</v>
      </c>
      <c r="I38" s="258">
        <f t="shared" si="1"/>
        <v>-10760752.050000001</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6184223.1100000003</v>
      </c>
      <c r="G40" s="733">
        <v>7548575.7400000002</v>
      </c>
      <c r="H40" s="733"/>
      <c r="I40" s="258">
        <f t="shared" si="1"/>
        <v>-7548575.7400000002</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v>3703748.86</v>
      </c>
      <c r="G43" s="733">
        <v>3212176.3099999996</v>
      </c>
      <c r="H43" s="733"/>
      <c r="I43" s="258">
        <f t="shared" si="1"/>
        <v>-3212176.3099999996</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0</v>
      </c>
      <c r="F45" s="408">
        <f t="shared" si="8"/>
        <v>1532007.65</v>
      </c>
      <c r="G45" s="408">
        <f t="shared" si="8"/>
        <v>1532007.65</v>
      </c>
      <c r="H45" s="408">
        <f t="shared" si="8"/>
        <v>687992.82873632945</v>
      </c>
      <c r="I45" s="258">
        <f t="shared" si="1"/>
        <v>-844014.82126367046</v>
      </c>
      <c r="J45" s="575">
        <f t="shared" si="2"/>
        <v>-1.2267785157207443</v>
      </c>
      <c r="K45" s="642">
        <f>SUM(K46:K52)</f>
        <v>4127956.9724179767</v>
      </c>
    </row>
    <row r="46" spans="1:11" ht="12.75" customHeight="1" x14ac:dyDescent="0.25">
      <c r="A46" s="574" t="s">
        <v>1249</v>
      </c>
      <c r="B46" s="169"/>
      <c r="C46" s="748"/>
      <c r="D46" s="745">
        <v>4127956.9724179767</v>
      </c>
      <c r="E46" s="733"/>
      <c r="F46" s="733">
        <v>1532007.65</v>
      </c>
      <c r="G46" s="733">
        <v>1532007.65</v>
      </c>
      <c r="H46" s="733">
        <f>D46/12*2</f>
        <v>687992.82873632945</v>
      </c>
      <c r="I46" s="258">
        <f t="shared" si="1"/>
        <v>-844014.82126367046</v>
      </c>
      <c r="J46" s="575">
        <f t="shared" si="2"/>
        <v>-1.2267785157207443</v>
      </c>
      <c r="K46" s="735">
        <f>D46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712530.61</v>
      </c>
      <c r="G75" s="578">
        <f t="shared" si="12"/>
        <v>-6.3200000000651926</v>
      </c>
      <c r="H75" s="578">
        <f t="shared" si="12"/>
        <v>0</v>
      </c>
      <c r="I75" s="578">
        <f t="shared" si="1"/>
        <v>6.3200000000651926</v>
      </c>
      <c r="J75" s="579" t="e">
        <f t="shared" si="2"/>
        <v>#DIV/0!</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712530.61</v>
      </c>
      <c r="G99" s="408">
        <f t="shared" si="14"/>
        <v>-6.3200000000651926</v>
      </c>
      <c r="H99" s="408">
        <f t="shared" si="14"/>
        <v>0</v>
      </c>
      <c r="I99" s="258">
        <f t="shared" si="1"/>
        <v>6.3200000000651926</v>
      </c>
      <c r="J99" s="575" t="e">
        <f t="shared" si="2"/>
        <v>#DIV/0!</v>
      </c>
      <c r="K99" s="642">
        <f>SUM(K100:K102)</f>
        <v>0</v>
      </c>
    </row>
    <row r="100" spans="1:11" ht="12.75" customHeight="1" x14ac:dyDescent="0.25">
      <c r="A100" s="574" t="s">
        <v>1286</v>
      </c>
      <c r="B100" s="169"/>
      <c r="C100" s="748"/>
      <c r="D100" s="753"/>
      <c r="E100" s="733"/>
      <c r="F100" s="733">
        <v>712530.61</v>
      </c>
      <c r="G100" s="733">
        <v>-6.3200000000651926</v>
      </c>
      <c r="H100" s="733"/>
      <c r="I100" s="44">
        <f t="shared" si="1"/>
        <v>6.3200000000651926</v>
      </c>
      <c r="J100" s="124" t="e">
        <f t="shared" si="2"/>
        <v>#DIV/0!</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0</v>
      </c>
      <c r="F103" s="99">
        <f t="shared" si="15"/>
        <v>0</v>
      </c>
      <c r="G103" s="99">
        <f t="shared" si="15"/>
        <v>-1082623.3999999999</v>
      </c>
      <c r="H103" s="99">
        <f t="shared" si="15"/>
        <v>677797.51954844722</v>
      </c>
      <c r="I103" s="99">
        <f t="shared" si="1"/>
        <v>1760420.9195484472</v>
      </c>
      <c r="J103" s="324">
        <f t="shared" si="2"/>
        <v>2.5972666892042482</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c r="F108" s="733"/>
      <c r="G108" s="733">
        <v>-1082623.3999999999</v>
      </c>
      <c r="H108" s="733">
        <f>D108/12*2</f>
        <v>677797.51954844722</v>
      </c>
      <c r="I108" s="44">
        <f t="shared" si="1"/>
        <v>1760420.9195484472</v>
      </c>
      <c r="J108" s="124">
        <f t="shared" si="2"/>
        <v>2.5972666892042482</v>
      </c>
      <c r="K108" s="735">
        <f>D108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v>-97000</v>
      </c>
      <c r="H144" s="733"/>
      <c r="I144" s="44">
        <f t="shared" si="25"/>
        <v>97000</v>
      </c>
      <c r="J144" s="124" t="e">
        <f t="shared" si="23"/>
        <v>#DIV/0!</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0</v>
      </c>
      <c r="F148" s="578">
        <f t="shared" si="27"/>
        <v>0</v>
      </c>
      <c r="G148" s="578">
        <f t="shared" si="27"/>
        <v>0</v>
      </c>
      <c r="H148" s="578">
        <f t="shared" si="27"/>
        <v>28753.739295723706</v>
      </c>
      <c r="I148" s="578">
        <f>H148-G148</f>
        <v>28753.739295723706</v>
      </c>
      <c r="J148" s="324">
        <f>IF(I148=0,"",I148/H148)</f>
        <v>1</v>
      </c>
      <c r="K148" s="580">
        <f>SUM(K149)</f>
        <v>172522.43577434224</v>
      </c>
    </row>
    <row r="149" spans="1:12" ht="12.75" customHeight="1" x14ac:dyDescent="0.25">
      <c r="A149" s="518" t="s">
        <v>1321</v>
      </c>
      <c r="B149" s="169"/>
      <c r="C149" s="748"/>
      <c r="D149" s="753">
        <v>172522.43577434224</v>
      </c>
      <c r="E149" s="733"/>
      <c r="F149" s="733"/>
      <c r="G149" s="733"/>
      <c r="H149" s="733">
        <f>D149/12*2</f>
        <v>28753.739295723706</v>
      </c>
      <c r="I149" s="44">
        <f>H149-G149</f>
        <v>28753.739295723706</v>
      </c>
      <c r="J149" s="124">
        <f>IF(I149=0,"",I149/H149)</f>
        <v>1</v>
      </c>
      <c r="K149" s="735">
        <f>D149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0</v>
      </c>
      <c r="F151" s="578">
        <f t="shared" si="28"/>
        <v>0</v>
      </c>
      <c r="G151" s="578">
        <f t="shared" si="28"/>
        <v>0</v>
      </c>
      <c r="H151" s="578">
        <f t="shared" si="28"/>
        <v>4792.2898826206183</v>
      </c>
      <c r="I151" s="578">
        <f>H151-G151</f>
        <v>4792.2898826206183</v>
      </c>
      <c r="J151" s="324">
        <f>IF(I151=0,"",I151/H151)</f>
        <v>1</v>
      </c>
      <c r="K151" s="580">
        <f>SUM(K152)</f>
        <v>28753.73929572371</v>
      </c>
    </row>
    <row r="152" spans="1:12" ht="12.75" customHeight="1" x14ac:dyDescent="0.25">
      <c r="A152" s="518" t="s">
        <v>1322</v>
      </c>
      <c r="B152" s="169"/>
      <c r="C152" s="748"/>
      <c r="D152" s="753">
        <v>28753.73929572371</v>
      </c>
      <c r="E152" s="733"/>
      <c r="F152" s="733"/>
      <c r="G152" s="733"/>
      <c r="H152" s="733">
        <f>D152/12*2</f>
        <v>4792.2898826206183</v>
      </c>
      <c r="I152" s="44">
        <f>H152-G152</f>
        <v>4792.2898826206183</v>
      </c>
      <c r="J152" s="124">
        <f>IF(I152=0,"",I152/H152)</f>
        <v>1</v>
      </c>
      <c r="K152" s="735">
        <f>D152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0</v>
      </c>
      <c r="F157" s="578">
        <f t="shared" si="30"/>
        <v>-138936.19</v>
      </c>
      <c r="G157" s="578">
        <f t="shared" si="30"/>
        <v>-138936.19</v>
      </c>
      <c r="H157" s="578">
        <f t="shared" si="30"/>
        <v>8024996.1150007127</v>
      </c>
      <c r="I157" s="578">
        <f>H157-G157</f>
        <v>8163932.3050007131</v>
      </c>
      <c r="J157" s="324">
        <f>IF(I157=0,"",I157/H157)</f>
        <v>1.017312929253672</v>
      </c>
      <c r="K157" s="580">
        <f>SUM(K158)</f>
        <v>48149976.690004274</v>
      </c>
    </row>
    <row r="158" spans="1:12" ht="12.75" customHeight="1" x14ac:dyDescent="0.25">
      <c r="A158" s="518" t="s">
        <v>1324</v>
      </c>
      <c r="B158" s="169"/>
      <c r="C158" s="748"/>
      <c r="D158" s="753">
        <v>48149976.690004274</v>
      </c>
      <c r="E158" s="733"/>
      <c r="F158" s="733">
        <v>-138936.19</v>
      </c>
      <c r="G158" s="733">
        <v>-138936.19</v>
      </c>
      <c r="H158" s="733">
        <f>D158/12*2</f>
        <v>8024996.1150007127</v>
      </c>
      <c r="I158" s="44">
        <f>H158-G158</f>
        <v>8163932.3050007131</v>
      </c>
      <c r="J158" s="124">
        <f>IF(I158=0,"",I158/H158)</f>
        <v>1.017312929253672</v>
      </c>
      <c r="K158" s="735">
        <f>D158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0</v>
      </c>
      <c r="F166" s="55">
        <f t="shared" si="33"/>
        <v>26873699.41</v>
      </c>
      <c r="G166" s="55">
        <f t="shared" si="33"/>
        <v>27810347.950000003</v>
      </c>
      <c r="H166" s="55">
        <f t="shared" si="33"/>
        <v>18241666.666666668</v>
      </c>
      <c r="I166" s="55">
        <f>H166-G166</f>
        <v>-9568681.2833333351</v>
      </c>
      <c r="J166" s="290">
        <f>IF(I166=0,"",I166/H166)</f>
        <v>-0.52455082412060305</v>
      </c>
      <c r="K166" s="235">
        <f>K7+K75+K103+K110+K117+K135+K138+K148+K151+K154+K157+K160+K163</f>
        <v>109450000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heetViews>
  <sheetFormatPr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0</v>
      </c>
      <c r="C3" s="43">
        <f>'SC12'!C6</f>
        <v>48407631.75</v>
      </c>
      <c r="D3" s="43">
        <f>'SC12'!D6</f>
        <v>0</v>
      </c>
      <c r="E3" s="45">
        <f>'SC12'!E6</f>
        <v>936648.53999999957</v>
      </c>
      <c r="F3" s="43"/>
      <c r="G3" s="43"/>
      <c r="H3" s="43"/>
      <c r="I3" s="43"/>
      <c r="J3" s="43"/>
      <c r="K3" s="43"/>
    </row>
    <row r="4" spans="1:11" x14ac:dyDescent="0.25">
      <c r="A4" s="42" t="str">
        <f>LEFT('SC12'!A7,3)</f>
        <v>Aug</v>
      </c>
      <c r="B4" s="43">
        <f>'SC12'!B7</f>
        <v>0</v>
      </c>
      <c r="C4" s="43">
        <f>'SC12'!C7</f>
        <v>48407631.75</v>
      </c>
      <c r="D4" s="43">
        <f>'SC12'!D7</f>
        <v>0</v>
      </c>
      <c r="E4" s="45">
        <f>'SC12'!E7</f>
        <v>28293360.050000001</v>
      </c>
      <c r="F4" s="43"/>
      <c r="G4" s="43"/>
      <c r="H4" s="43"/>
      <c r="I4" s="43"/>
      <c r="J4" s="43"/>
      <c r="K4" s="43"/>
    </row>
    <row r="5" spans="1:11" x14ac:dyDescent="0.25">
      <c r="A5" s="42" t="str">
        <f>LEFT('SC12'!A8,3)</f>
        <v>Sep</v>
      </c>
      <c r="B5" s="43">
        <f>'SC12'!B8</f>
        <v>0</v>
      </c>
      <c r="C5" s="43">
        <f>'SC12'!C8</f>
        <v>48407631.75</v>
      </c>
      <c r="D5" s="43">
        <f>'SC12'!D8</f>
        <v>0</v>
      </c>
      <c r="E5" s="45">
        <f>'SC12'!E8</f>
        <v>0</v>
      </c>
      <c r="F5" s="43"/>
      <c r="G5" s="43"/>
      <c r="H5" s="43"/>
      <c r="I5" s="43"/>
      <c r="J5" s="43"/>
      <c r="K5" s="43"/>
    </row>
    <row r="6" spans="1:11" x14ac:dyDescent="0.25">
      <c r="A6" s="42" t="str">
        <f>LEFT('SC12'!A9,3)</f>
        <v>Oct</v>
      </c>
      <c r="B6" s="43">
        <f>'SC12'!B9</f>
        <v>0</v>
      </c>
      <c r="C6" s="43">
        <f>'SC12'!C9</f>
        <v>48407631.75</v>
      </c>
      <c r="D6" s="43">
        <f>'SC12'!D9</f>
        <v>0</v>
      </c>
      <c r="E6" s="45">
        <f>'SC12'!E9</f>
        <v>0</v>
      </c>
      <c r="F6" s="43"/>
      <c r="G6" s="43"/>
      <c r="H6" s="43"/>
      <c r="I6" s="43"/>
      <c r="J6" s="43"/>
      <c r="K6" s="43"/>
    </row>
    <row r="7" spans="1:11" x14ac:dyDescent="0.25">
      <c r="A7" s="42" t="str">
        <f>LEFT('SC12'!A10,3)</f>
        <v>Nov</v>
      </c>
      <c r="B7" s="43">
        <f>'SC12'!B10</f>
        <v>0</v>
      </c>
      <c r="C7" s="43">
        <f>'SC12'!C10</f>
        <v>48407631.75</v>
      </c>
      <c r="D7" s="43">
        <f>'SC12'!D10</f>
        <v>0</v>
      </c>
      <c r="E7" s="45">
        <f>'SC12'!E10</f>
        <v>0</v>
      </c>
      <c r="F7" s="43"/>
      <c r="G7" s="43"/>
      <c r="H7" s="43"/>
      <c r="I7" s="43"/>
      <c r="J7" s="43"/>
      <c r="K7" s="43"/>
    </row>
    <row r="8" spans="1:11" x14ac:dyDescent="0.25">
      <c r="A8" s="42" t="str">
        <f>LEFT('SC12'!A11,3)</f>
        <v>Dec</v>
      </c>
      <c r="B8" s="43">
        <f>'SC12'!B11</f>
        <v>0</v>
      </c>
      <c r="C8" s="43">
        <f>'SC12'!C11</f>
        <v>48407631.75</v>
      </c>
      <c r="D8" s="43">
        <f>'SC12'!D11</f>
        <v>0</v>
      </c>
      <c r="E8" s="45">
        <f>'SC12'!E11</f>
        <v>0</v>
      </c>
      <c r="F8" s="43"/>
      <c r="G8" s="43"/>
      <c r="H8" s="43"/>
      <c r="I8" s="43"/>
      <c r="J8" s="43"/>
      <c r="K8" s="43"/>
    </row>
    <row r="9" spans="1:11" x14ac:dyDescent="0.25">
      <c r="A9" s="42" t="str">
        <f>LEFT('SC12'!A12,3)</f>
        <v>Jan</v>
      </c>
      <c r="B9" s="43">
        <f>'SC12'!B12</f>
        <v>0</v>
      </c>
      <c r="C9" s="43">
        <f>'SC12'!C12</f>
        <v>48407631.75</v>
      </c>
      <c r="D9" s="43">
        <f>'SC12'!D12</f>
        <v>0</v>
      </c>
      <c r="E9" s="45">
        <f>'SC12'!E12</f>
        <v>0</v>
      </c>
      <c r="F9" s="43"/>
      <c r="G9" s="43"/>
      <c r="H9" s="43"/>
      <c r="I9" s="43"/>
      <c r="J9" s="43"/>
      <c r="K9" s="43"/>
    </row>
    <row r="10" spans="1:11" x14ac:dyDescent="0.25">
      <c r="A10" s="42" t="str">
        <f>LEFT('SC12'!A13,3)</f>
        <v>Feb</v>
      </c>
      <c r="B10" s="43">
        <f>'SC12'!B13</f>
        <v>0</v>
      </c>
      <c r="C10" s="43">
        <f>'SC12'!C13</f>
        <v>48407631.75</v>
      </c>
      <c r="D10" s="43">
        <f>'SC12'!D13</f>
        <v>0</v>
      </c>
      <c r="E10" s="45">
        <f>'SC12'!E13</f>
        <v>0</v>
      </c>
      <c r="F10" s="43"/>
      <c r="G10" s="43"/>
      <c r="H10" s="43"/>
      <c r="I10" s="43"/>
      <c r="J10" s="43"/>
      <c r="K10" s="43"/>
    </row>
    <row r="11" spans="1:11" x14ac:dyDescent="0.25">
      <c r="A11" s="42" t="str">
        <f>LEFT('SC12'!A14,3)</f>
        <v>Mar</v>
      </c>
      <c r="B11" s="43">
        <f>'SC12'!B14</f>
        <v>0</v>
      </c>
      <c r="C11" s="43">
        <f>'SC12'!C14</f>
        <v>48407631.75</v>
      </c>
      <c r="D11" s="43">
        <f>'SC12'!D14</f>
        <v>0</v>
      </c>
      <c r="E11" s="45">
        <f>'SC12'!E14</f>
        <v>0</v>
      </c>
      <c r="F11" s="43"/>
      <c r="G11" s="43"/>
      <c r="H11" s="43"/>
      <c r="I11" s="43"/>
      <c r="J11" s="43"/>
      <c r="K11" s="43"/>
    </row>
    <row r="12" spans="1:11" x14ac:dyDescent="0.25">
      <c r="A12" s="42" t="str">
        <f>LEFT('SC12'!A15,3)</f>
        <v>Apr</v>
      </c>
      <c r="B12" s="43">
        <f>'SC12'!B15</f>
        <v>0</v>
      </c>
      <c r="C12" s="43">
        <f>'SC12'!C15</f>
        <v>48407631.75</v>
      </c>
      <c r="D12" s="43">
        <f>'SC12'!D15</f>
        <v>0</v>
      </c>
      <c r="E12" s="45">
        <f>'SC12'!E15</f>
        <v>0</v>
      </c>
      <c r="F12" s="43"/>
      <c r="G12" s="43"/>
      <c r="H12" s="43"/>
      <c r="I12" s="43"/>
      <c r="J12" s="43"/>
      <c r="K12" s="43"/>
    </row>
    <row r="13" spans="1:11" x14ac:dyDescent="0.25">
      <c r="A13" s="42" t="str">
        <f>LEFT('SC12'!A16,3)</f>
        <v>May</v>
      </c>
      <c r="B13" s="43">
        <f>'SC12'!B16</f>
        <v>0</v>
      </c>
      <c r="C13" s="43">
        <f>'SC12'!C16</f>
        <v>48407631.75</v>
      </c>
      <c r="D13" s="43">
        <f>'SC12'!D16</f>
        <v>0</v>
      </c>
      <c r="E13" s="45">
        <f>'SC12'!E16</f>
        <v>0</v>
      </c>
      <c r="F13" s="43"/>
      <c r="G13" s="43"/>
      <c r="H13" s="43"/>
      <c r="I13" s="43"/>
      <c r="J13" s="43"/>
      <c r="K13" s="43"/>
    </row>
    <row r="14" spans="1:11" x14ac:dyDescent="0.25">
      <c r="A14" s="91" t="str">
        <f>LEFT('SC12'!A17,3)</f>
        <v>Jun</v>
      </c>
      <c r="B14" s="356">
        <f>'SC12'!B17</f>
        <v>0</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t="str">
        <f>'SC12'!F8</f>
        <v/>
      </c>
      <c r="C30" s="45">
        <f>'SC12'!G8</f>
        <v>145222895.25</v>
      </c>
      <c r="D30" s="43"/>
      <c r="E30" s="43"/>
      <c r="F30" s="43"/>
      <c r="G30" s="43"/>
      <c r="H30" s="43"/>
      <c r="I30" s="43"/>
    </row>
    <row r="31" spans="1:10" x14ac:dyDescent="0.25">
      <c r="A31" s="42" t="str">
        <f>LEFT('SC12'!A9,3)</f>
        <v>Oct</v>
      </c>
      <c r="B31" s="43" t="str">
        <f>'SC12'!F9</f>
        <v/>
      </c>
      <c r="C31" s="45">
        <f>'SC12'!G9</f>
        <v>193630527</v>
      </c>
      <c r="D31" s="43"/>
      <c r="E31" s="43"/>
      <c r="F31" s="43"/>
      <c r="G31" s="43"/>
      <c r="H31" s="43"/>
      <c r="I31" s="43"/>
    </row>
    <row r="32" spans="1:10" x14ac:dyDescent="0.25">
      <c r="A32" s="42" t="str">
        <f>LEFT('SC12'!A10,3)</f>
        <v>Nov</v>
      </c>
      <c r="B32" s="43" t="str">
        <f>'SC12'!F10</f>
        <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647966518.10000002</v>
      </c>
      <c r="C53" s="43">
        <f>'SC3'!D14</f>
        <v>125816778.75</v>
      </c>
      <c r="D53" s="43">
        <f>'SC3'!E14</f>
        <v>100265811.34</v>
      </c>
      <c r="E53" s="43">
        <f>'SC3'!F14</f>
        <v>67346119.559999987</v>
      </c>
      <c r="F53" s="43">
        <f>'SC3'!G14</f>
        <v>93741619.730000004</v>
      </c>
      <c r="G53" s="43">
        <f>'SC3'!H14</f>
        <v>92530151.920000002</v>
      </c>
      <c r="H53" s="43">
        <f>'SC3'!I14</f>
        <v>542179754.99000001</v>
      </c>
      <c r="I53" s="43">
        <f>'SC3'!J14</f>
        <v>2942218257.9099998</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752655157.24599993</v>
      </c>
      <c r="C78" s="43">
        <f>'SC3'!K17</f>
        <v>775933151.79999995</v>
      </c>
      <c r="D78" s="43"/>
      <c r="E78" s="43"/>
      <c r="F78" s="43"/>
      <c r="G78" s="43"/>
      <c r="H78" s="43"/>
      <c r="I78" s="43"/>
      <c r="J78" s="43"/>
    </row>
    <row r="79" spans="1:10" x14ac:dyDescent="0.25">
      <c r="A79" s="61" t="str">
        <f>'SC3'!A18</f>
        <v>Commercial</v>
      </c>
      <c r="B79" s="43">
        <f>C79*0.97</f>
        <v>209982950.14429998</v>
      </c>
      <c r="C79" s="43">
        <f>'SC3'!K18</f>
        <v>216477268.19</v>
      </c>
      <c r="D79" s="43"/>
      <c r="E79" s="43"/>
      <c r="F79" s="43"/>
      <c r="G79" s="43"/>
      <c r="H79" s="43"/>
      <c r="I79" s="43"/>
      <c r="J79" s="43"/>
    </row>
    <row r="80" spans="1:10" x14ac:dyDescent="0.25">
      <c r="A80" s="61" t="str">
        <f>'SC3'!A19</f>
        <v>Households</v>
      </c>
      <c r="B80" s="43">
        <f>C80*0.97</f>
        <v>3285157228.8477998</v>
      </c>
      <c r="C80" s="43">
        <f>'SC3'!K19</f>
        <v>3386760029.7399998</v>
      </c>
    </row>
    <row r="81" spans="1:3" x14ac:dyDescent="0.25">
      <c r="A81" s="61" t="str">
        <f>'SC3'!A20</f>
        <v>Other</v>
      </c>
      <c r="B81" s="43">
        <f>C81*0.97</f>
        <v>225907725.69289997</v>
      </c>
      <c r="C81" s="43">
        <f>'SC3'!K20</f>
        <v>232894562.56999999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266648898</v>
      </c>
      <c r="C103" s="405">
        <f>'SC4'!L7</f>
        <v>72313674.590000004</v>
      </c>
      <c r="D103" s="405">
        <f>'SC4'!L8</f>
        <v>0</v>
      </c>
      <c r="E103" s="405">
        <f>'SC4'!L9</f>
        <v>173036022.27000001</v>
      </c>
      <c r="F103" s="405">
        <f>'SC4'!L10</f>
        <v>0</v>
      </c>
      <c r="G103" s="405">
        <f>'SC4'!L11</f>
        <v>0</v>
      </c>
      <c r="H103" s="405">
        <f>'SC4'!L12</f>
        <v>53671217.329999998</v>
      </c>
      <c r="I103" s="405">
        <f>'SC4'!L13</f>
        <v>0</v>
      </c>
      <c r="J103" s="405">
        <f>'SC4'!L14</f>
        <v>256518896.22</v>
      </c>
    </row>
    <row r="104" spans="1:10" x14ac:dyDescent="0.25">
      <c r="A104" s="61" t="str">
        <f>A53</f>
        <v>Budget Year 2020/21</v>
      </c>
      <c r="B104" s="43">
        <f>'SC4'!K6</f>
        <v>131868757.81999999</v>
      </c>
      <c r="C104" s="43">
        <f>'SC4'!K7</f>
        <v>213184955.55000001</v>
      </c>
      <c r="D104" s="43">
        <f>'SC4'!K8</f>
        <v>0</v>
      </c>
      <c r="E104" s="43">
        <f>'SC4'!K9</f>
        <v>177479193.75999999</v>
      </c>
      <c r="F104" s="43">
        <f>'SC4'!K10</f>
        <v>0</v>
      </c>
      <c r="G104" s="43">
        <f>'SC4'!K11</f>
        <v>0</v>
      </c>
      <c r="H104" s="43">
        <f>'SC4'!K12</f>
        <v>81327943.890000015</v>
      </c>
      <c r="I104" s="43">
        <f>'SC4'!K13</f>
        <v>532174.01</v>
      </c>
      <c r="J104" s="43">
        <f>'SC4'!K14</f>
        <v>365654604.62</v>
      </c>
    </row>
    <row r="106" spans="1:10" ht="12" customHeight="1" x14ac:dyDescent="0.25">
      <c r="A106" s="61"/>
      <c r="B106" s="43"/>
      <c r="C106" s="43"/>
    </row>
  </sheetData>
  <sheetProtection sheet="1" objects="1" scenarios="1"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28" zoomScaleNormal="100" workbookViewId="0">
      <selection activeCell="E53" sqref="E53"/>
    </sheetView>
  </sheetViews>
  <sheetFormatPr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94" workbookViewId="0">
      <selection activeCell="A140" sqref="A140"/>
    </sheetView>
  </sheetViews>
  <sheetFormatPr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5"/>
      <c r="D8" s="1015"/>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6"/>
      <c r="D11" s="1017"/>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8"/>
      <c r="D13" s="1018"/>
      <c r="F13" s="823"/>
      <c r="G13" s="823"/>
      <c r="H13" s="823"/>
      <c r="I13" s="853"/>
      <c r="J13" s="823"/>
      <c r="K13" s="824"/>
      <c r="L13" s="824"/>
      <c r="M13" s="824"/>
      <c r="N13" s="824"/>
      <c r="O13" s="824"/>
      <c r="P13" s="825"/>
    </row>
    <row r="14" spans="1:17" ht="13.5" customHeight="1" thickBot="1" x14ac:dyDescent="0.25">
      <c r="A14" s="1019" t="s">
        <v>345</v>
      </c>
      <c r="B14" s="1020"/>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1" t="s">
        <v>356</v>
      </c>
      <c r="B30" s="1022"/>
      <c r="C30" s="1023"/>
      <c r="D30" s="1024"/>
      <c r="P30" s="825"/>
    </row>
    <row r="31" spans="1:17" ht="13.5" customHeight="1" thickTop="1" x14ac:dyDescent="0.2">
      <c r="A31" s="863" t="s">
        <v>357</v>
      </c>
      <c r="B31" s="864"/>
      <c r="C31" s="1025" t="s">
        <v>358</v>
      </c>
      <c r="D31" s="1029"/>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7" t="s">
        <v>362</v>
      </c>
      <c r="B40" s="1030"/>
      <c r="C40" s="1027" t="s">
        <v>363</v>
      </c>
      <c r="D40" s="1030"/>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7" t="s">
        <v>364</v>
      </c>
      <c r="B49" s="1030"/>
      <c r="C49" s="1027" t="s">
        <v>365</v>
      </c>
      <c r="D49" s="1030"/>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1" t="s">
        <v>366</v>
      </c>
      <c r="B58" s="1032"/>
      <c r="C58" s="1023"/>
      <c r="D58" s="1033"/>
      <c r="E58" s="812"/>
      <c r="F58" s="854"/>
      <c r="G58" s="824"/>
      <c r="P58" s="825"/>
    </row>
    <row r="59" spans="1:17" s="874" customFormat="1" ht="13.5" customHeight="1" thickTop="1" x14ac:dyDescent="0.2">
      <c r="A59" s="863" t="s">
        <v>367</v>
      </c>
      <c r="B59" s="864"/>
      <c r="C59" s="1025" t="s">
        <v>368</v>
      </c>
      <c r="D59" s="1026"/>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7" t="s">
        <v>370</v>
      </c>
      <c r="D68" s="1028"/>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1" t="s">
        <v>371</v>
      </c>
      <c r="B77" s="1012"/>
      <c r="C77" s="1011" t="s">
        <v>371</v>
      </c>
      <c r="D77" s="101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1" t="s">
        <v>371</v>
      </c>
      <c r="B85" s="1012"/>
      <c r="C85" s="1011" t="s">
        <v>371</v>
      </c>
      <c r="D85" s="101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1" t="s">
        <v>371</v>
      </c>
      <c r="B93" s="1012"/>
      <c r="C93" s="1011" t="s">
        <v>371</v>
      </c>
      <c r="D93" s="101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1" t="s">
        <v>371</v>
      </c>
      <c r="B101" s="1012"/>
      <c r="C101" s="1011" t="s">
        <v>371</v>
      </c>
      <c r="D101" s="101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1" t="s">
        <v>371</v>
      </c>
      <c r="B109" s="1012"/>
      <c r="C109" s="1011" t="s">
        <v>371</v>
      </c>
      <c r="D109" s="101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1" t="s">
        <v>371</v>
      </c>
      <c r="B117" s="1012"/>
      <c r="C117" s="1011" t="s">
        <v>371</v>
      </c>
      <c r="D117" s="101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1" t="s">
        <v>371</v>
      </c>
      <c r="B125" s="1012"/>
      <c r="C125" s="1011" t="s">
        <v>371</v>
      </c>
      <c r="D125" s="101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1" t="s">
        <v>371</v>
      </c>
      <c r="B133" s="1012"/>
      <c r="C133" s="1013"/>
      <c r="D133" s="101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sqref="A1:J53"/>
    </sheetView>
  </sheetViews>
  <sheetFormatPr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M02 August</v>
      </c>
      <c r="B1" s="346"/>
      <c r="C1" s="346"/>
      <c r="D1" s="346"/>
      <c r="E1" s="346"/>
      <c r="F1" s="346"/>
      <c r="G1" s="346"/>
      <c r="H1" s="346"/>
      <c r="I1" s="346"/>
      <c r="J1" s="346"/>
    </row>
    <row r="2" spans="1:10" x14ac:dyDescent="0.25">
      <c r="A2" s="1035" t="str">
        <f>desc</f>
        <v>Description</v>
      </c>
      <c r="B2" s="158" t="str">
        <f>Head1</f>
        <v>2019/20</v>
      </c>
      <c r="C2" s="1037" t="str">
        <f>Head2</f>
        <v>Budget Year 2020/21</v>
      </c>
      <c r="D2" s="1038"/>
      <c r="E2" s="1038"/>
      <c r="F2" s="1038"/>
      <c r="G2" s="1038"/>
      <c r="H2" s="1038"/>
      <c r="I2" s="1038"/>
      <c r="J2" s="1039"/>
    </row>
    <row r="3" spans="1:10" ht="25.5" x14ac:dyDescent="0.25">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0</v>
      </c>
      <c r="E6" s="408">
        <f>SUM('C4-FinPerf RE'!F6:F6)</f>
        <v>101909950.48999998</v>
      </c>
      <c r="F6" s="408">
        <f>SUM('C4-FinPerf RE'!G6:G6)</f>
        <v>204038346.90999997</v>
      </c>
      <c r="G6" s="650">
        <f>SUM('C4-FinPerf RE'!H6:H6)</f>
        <v>211632432.33696663</v>
      </c>
      <c r="H6" s="408">
        <f>F6-G6</f>
        <v>-7594085.4269666672</v>
      </c>
      <c r="I6" s="591">
        <f>IF(H6=0,"",H6/G6)</f>
        <v>-3.5883372615002448E-2</v>
      </c>
      <c r="J6" s="642">
        <f>SUM('C4-FinPerf RE'!K6:K6)</f>
        <v>1269794594.0217998</v>
      </c>
    </row>
    <row r="7" spans="1:10" ht="12.75" customHeight="1" x14ac:dyDescent="0.25">
      <c r="A7" s="152" t="s">
        <v>962</v>
      </c>
      <c r="B7" s="648">
        <f>SUM('C4-FinPerf RE'!C7:C10)</f>
        <v>0</v>
      </c>
      <c r="C7" s="649">
        <f>SUM('C4-FinPerf RE'!D7:D10)</f>
        <v>3575763602.2929115</v>
      </c>
      <c r="D7" s="408">
        <f>SUM('C4-FinPerf RE'!E7:E10)</f>
        <v>0</v>
      </c>
      <c r="E7" s="408">
        <f>SUM('C4-FinPerf RE'!F7:F10)</f>
        <v>297991944.46000004</v>
      </c>
      <c r="F7" s="408">
        <f>SUM('C4-FinPerf RE'!G7:G10)</f>
        <v>595225761.65999997</v>
      </c>
      <c r="G7" s="650">
        <f>SUM('C4-FinPerf RE'!H7:H10)</f>
        <v>595960600.38215196</v>
      </c>
      <c r="H7" s="408">
        <f>F7-G7</f>
        <v>-734838.72215199471</v>
      </c>
      <c r="I7" s="207">
        <f>IF(H7=0,"",H7/G7)</f>
        <v>-1.2330323878470975E-3</v>
      </c>
      <c r="J7" s="642">
        <f>SUM('C4-FinPerf RE'!K7:K10)</f>
        <v>3575763602.2929115</v>
      </c>
    </row>
    <row r="8" spans="1:10" ht="12.75" customHeight="1" x14ac:dyDescent="0.25">
      <c r="A8" s="152" t="s">
        <v>496</v>
      </c>
      <c r="B8" s="648">
        <f>'C4-FinPerf RE'!C13</f>
        <v>0</v>
      </c>
      <c r="C8" s="649">
        <f>'C4-FinPerf RE'!D13</f>
        <v>15260422.42725</v>
      </c>
      <c r="D8" s="408">
        <f>'C4-FinPerf RE'!E13</f>
        <v>0</v>
      </c>
      <c r="E8" s="408">
        <f>'C4-FinPerf RE'!F13</f>
        <v>733807.67999999982</v>
      </c>
      <c r="F8" s="408">
        <f>'C4-FinPerf RE'!G13</f>
        <v>880625.44</v>
      </c>
      <c r="G8" s="650">
        <f>'C4-FinPerf RE'!H13</f>
        <v>2543403.7378750001</v>
      </c>
      <c r="H8" s="408">
        <f>F8-G8</f>
        <v>-1662778.2978750002</v>
      </c>
      <c r="I8" s="207">
        <f>IF(H8=0,"",H8/G8)</f>
        <v>-0.65376104985370598</v>
      </c>
      <c r="J8" s="642">
        <f>'C4-FinPerf RE'!K13</f>
        <v>15260422.42725</v>
      </c>
    </row>
    <row r="9" spans="1:10" ht="12.75" customHeight="1" x14ac:dyDescent="0.25">
      <c r="A9" s="152" t="s">
        <v>1118</v>
      </c>
      <c r="B9" s="648">
        <f>'C4-FinPerf RE'!C19</f>
        <v>0</v>
      </c>
      <c r="C9" s="649">
        <f>'C4-FinPerf RE'!D19</f>
        <v>675483240</v>
      </c>
      <c r="D9" s="408">
        <f>'C4-FinPerf RE'!E19</f>
        <v>0</v>
      </c>
      <c r="E9" s="408">
        <f>'C4-FinPerf RE'!F19</f>
        <v>274034420.00999999</v>
      </c>
      <c r="F9" s="408">
        <f>'C4-FinPerf RE'!G19</f>
        <v>274341991.08999997</v>
      </c>
      <c r="G9" s="650">
        <f>'C4-FinPerf RE'!H19</f>
        <v>112580540</v>
      </c>
      <c r="H9" s="408">
        <f>F9-G9</f>
        <v>161761451.08999997</v>
      </c>
      <c r="I9" s="207">
        <f>IF(H9=0,"",H9/G9)</f>
        <v>1.4368509077146012</v>
      </c>
      <c r="J9" s="642">
        <f>'C4-FinPerf RE'!K19</f>
        <v>675483240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9236663.7199999988</v>
      </c>
      <c r="F10" s="409">
        <f>'C4-FinPerf RE'!G12+'C4-FinPerf RE'!G14+'C4-FinPerf RE'!G15+'C4-FinPerf RE'!G16+'C4-FinPerf RE'!G17+'C4-FinPerf RE'!G18+'C4-FinPerf RE'!G20+'C4-FinPerf RE'!G21</f>
        <v>27582607.610000003</v>
      </c>
      <c r="G10" s="653">
        <f>'C4-FinPerf RE'!H12+'C4-FinPerf RE'!H14+'C4-FinPerf RE'!H15+'C4-FinPerf RE'!H16+'C4-FinPerf RE'!H17+'C4-FinPerf RE'!H18+'C4-FinPerf RE'!H20+'C4-FinPerf RE'!H21</f>
        <v>63584733.188349992</v>
      </c>
      <c r="H10" s="409">
        <f>F10-G10</f>
        <v>-36002125.578349993</v>
      </c>
      <c r="I10" s="208">
        <f>IF(H10=0,"",H10/G10)</f>
        <v>-0.56620707162055539</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0</v>
      </c>
      <c r="E11" s="657">
        <f t="shared" si="0"/>
        <v>683906786.36000013</v>
      </c>
      <c r="F11" s="657">
        <f t="shared" si="0"/>
        <v>1102069332.7099998</v>
      </c>
      <c r="G11" s="658">
        <f t="shared" si="0"/>
        <v>986301709.64534354</v>
      </c>
      <c r="H11" s="657">
        <f t="shared" ref="H11:H25" si="1">F11-G11</f>
        <v>115767623.06465626</v>
      </c>
      <c r="I11" s="593">
        <f t="shared" ref="I11:I25" si="2">IF(H11=0,"",H11/G11)</f>
        <v>0.11737546628230446</v>
      </c>
      <c r="J11" s="659">
        <f t="shared" si="0"/>
        <v>5917810257.8720617</v>
      </c>
    </row>
    <row r="12" spans="1:10" ht="12.75" customHeight="1" x14ac:dyDescent="0.25">
      <c r="A12" s="152" t="s">
        <v>475</v>
      </c>
      <c r="B12" s="648">
        <f>'C4-FinPerf RE'!C25</f>
        <v>0</v>
      </c>
      <c r="C12" s="649">
        <f>'C4-FinPerf RE'!D25</f>
        <v>1478324301.5741799</v>
      </c>
      <c r="D12" s="408">
        <f>'C4-FinPerf RE'!E25</f>
        <v>0</v>
      </c>
      <c r="E12" s="408">
        <f>'C4-FinPerf RE'!F25</f>
        <v>110156198.9600001</v>
      </c>
      <c r="F12" s="408">
        <f>'C4-FinPerf RE'!G25</f>
        <v>215080592.71000004</v>
      </c>
      <c r="G12" s="650">
        <f>'C4-FinPerf RE'!H25</f>
        <v>246387383.59569666</v>
      </c>
      <c r="H12" s="408">
        <f t="shared" si="1"/>
        <v>-31306790.88569662</v>
      </c>
      <c r="I12" s="207">
        <f t="shared" si="2"/>
        <v>-0.12706328720576346</v>
      </c>
      <c r="J12" s="642">
        <f>'C4-FinPerf RE'!K25</f>
        <v>1478324301.5741799</v>
      </c>
    </row>
    <row r="13" spans="1:10" ht="12.75" customHeight="1" x14ac:dyDescent="0.25">
      <c r="A13" s="152" t="s">
        <v>842</v>
      </c>
      <c r="B13" s="648">
        <f>'C4-FinPerf RE'!C26</f>
        <v>0</v>
      </c>
      <c r="C13" s="649">
        <f>'C4-FinPerf RE'!D26</f>
        <v>53650401.115479976</v>
      </c>
      <c r="D13" s="408">
        <f>'C4-FinPerf RE'!E26</f>
        <v>0</v>
      </c>
      <c r="E13" s="408">
        <f>'C4-FinPerf RE'!F26</f>
        <v>3682711.07</v>
      </c>
      <c r="F13" s="408">
        <f>'C4-FinPerf RE'!G26</f>
        <v>7367340.1899999995</v>
      </c>
      <c r="G13" s="650">
        <f>'C4-FinPerf RE'!H26</f>
        <v>8941733.519246662</v>
      </c>
      <c r="H13" s="408">
        <f t="shared" si="1"/>
        <v>-1574393.3292466626</v>
      </c>
      <c r="I13" s="207">
        <f t="shared" si="2"/>
        <v>-0.17607249487561386</v>
      </c>
      <c r="J13" s="642">
        <f>'C4-FinPerf RE'!K26</f>
        <v>53650401.115479976</v>
      </c>
    </row>
    <row r="14" spans="1:10" ht="12.75" customHeight="1" x14ac:dyDescent="0.25">
      <c r="A14" s="581" t="s">
        <v>664</v>
      </c>
      <c r="B14" s="648">
        <f>'C4-FinPerf RE'!C28</f>
        <v>0</v>
      </c>
      <c r="C14" s="649">
        <f>'C4-FinPerf RE'!D28</f>
        <v>489941448.27473986</v>
      </c>
      <c r="D14" s="408">
        <f>'C4-FinPerf RE'!E28</f>
        <v>0</v>
      </c>
      <c r="E14" s="408">
        <f>'C4-FinPerf RE'!F28</f>
        <v>36095228.270000033</v>
      </c>
      <c r="F14" s="408">
        <f>'C4-FinPerf RE'!G28</f>
        <v>72184874.329999998</v>
      </c>
      <c r="G14" s="650">
        <f>'C4-FinPerf RE'!H28</f>
        <v>81656908.045789972</v>
      </c>
      <c r="H14" s="408">
        <f t="shared" si="1"/>
        <v>-9472033.7157899737</v>
      </c>
      <c r="I14" s="207">
        <f t="shared" si="2"/>
        <v>-0.11599794729526657</v>
      </c>
      <c r="J14" s="642">
        <f>'C4-FinPerf RE'!K28</f>
        <v>489941448.27473986</v>
      </c>
    </row>
    <row r="15" spans="1:10" ht="12.75" customHeight="1" x14ac:dyDescent="0.25">
      <c r="A15" s="152" t="s">
        <v>452</v>
      </c>
      <c r="B15" s="648">
        <f>'C4-FinPerf RE'!C29</f>
        <v>0</v>
      </c>
      <c r="C15" s="649">
        <f>'C4-FinPerf RE'!D29</f>
        <v>31793212.220000003</v>
      </c>
      <c r="D15" s="408">
        <f>'C4-FinPerf RE'!E29</f>
        <v>0</v>
      </c>
      <c r="E15" s="408">
        <f>'C4-FinPerf RE'!F29</f>
        <v>4048460.95</v>
      </c>
      <c r="F15" s="408">
        <f>'C4-FinPerf RE'!G29</f>
        <v>7289617.3300000001</v>
      </c>
      <c r="G15" s="650">
        <f>'C4-FinPerf RE'!H29</f>
        <v>5298868.7033333341</v>
      </c>
      <c r="H15" s="408">
        <f t="shared" si="1"/>
        <v>1990748.626666666</v>
      </c>
      <c r="I15" s="207">
        <f t="shared" si="2"/>
        <v>0.37569314095560724</v>
      </c>
      <c r="J15" s="642">
        <f>'C4-FinPerf RE'!K29</f>
        <v>31793212.220000003</v>
      </c>
    </row>
    <row r="16" spans="1:10" ht="12.75" customHeight="1" x14ac:dyDescent="0.25">
      <c r="A16" s="152" t="s">
        <v>495</v>
      </c>
      <c r="B16" s="648">
        <f>SUM('C4-FinPerf RE'!C30:C31)</f>
        <v>0</v>
      </c>
      <c r="C16" s="649">
        <f>SUM('C4-FinPerf RE'!D30:D31)</f>
        <v>2654837499.1911387</v>
      </c>
      <c r="D16" s="408">
        <f>SUM('C4-FinPerf RE'!E30:E31)</f>
        <v>0</v>
      </c>
      <c r="E16" s="408">
        <f>SUM('C4-FinPerf RE'!F30:F31)</f>
        <v>348745679</v>
      </c>
      <c r="F16" s="408">
        <f>SUM('C4-FinPerf RE'!G30:G31)</f>
        <v>348868742.01999998</v>
      </c>
      <c r="G16" s="650">
        <f>SUM('C4-FinPerf RE'!H30:H31)</f>
        <v>442472916.53185642</v>
      </c>
      <c r="H16" s="408">
        <f t="shared" si="1"/>
        <v>-93604174.511856437</v>
      </c>
      <c r="I16" s="591">
        <f t="shared" si="2"/>
        <v>-0.2115478055595687</v>
      </c>
      <c r="J16" s="642">
        <f>SUM('C4-FinPerf RE'!K30:K31)</f>
        <v>2654837499.1911387</v>
      </c>
    </row>
    <row r="17" spans="1:11" ht="12.75" customHeight="1" x14ac:dyDescent="0.25">
      <c r="A17" s="152" t="s">
        <v>1118</v>
      </c>
      <c r="B17" s="648">
        <f>'C4-FinPerf RE'!C33</f>
        <v>0</v>
      </c>
      <c r="C17" s="649">
        <f>'C4-FinPerf RE'!D33</f>
        <v>25080461.44304001</v>
      </c>
      <c r="D17" s="408">
        <f>'C4-FinPerf RE'!E33</f>
        <v>0</v>
      </c>
      <c r="E17" s="408">
        <f>'C4-FinPerf RE'!F33</f>
        <v>2579539.3899999997</v>
      </c>
      <c r="F17" s="408">
        <f>'C4-FinPerf RE'!G33</f>
        <v>5179043.8899999987</v>
      </c>
      <c r="G17" s="650">
        <f>'C4-FinPerf RE'!H33</f>
        <v>4180076.9071733351</v>
      </c>
      <c r="H17" s="408">
        <f t="shared" si="1"/>
        <v>998966.98282666365</v>
      </c>
      <c r="I17" s="207">
        <f t="shared" si="2"/>
        <v>0.23898291945594569</v>
      </c>
      <c r="J17" s="642">
        <f>'C4-FinPerf RE'!K33</f>
        <v>25080461.44304001</v>
      </c>
    </row>
    <row r="18" spans="1:11" ht="12.75" customHeight="1" x14ac:dyDescent="0.25">
      <c r="A18" s="152" t="s">
        <v>434</v>
      </c>
      <c r="B18" s="648">
        <f>'C4-FinPerf RE'!C36-SUM('C1-Sum'!B12:B17)</f>
        <v>0</v>
      </c>
      <c r="C18" s="649">
        <f>'C4-FinPerf RE'!D36-SUM('C1-Sum'!C12:C17)</f>
        <v>782850145.72604942</v>
      </c>
      <c r="D18" s="408">
        <f>'C4-FinPerf RE'!E36-SUM('C1-Sum'!D12:D17)</f>
        <v>0</v>
      </c>
      <c r="E18" s="408">
        <f>'C4-FinPerf RE'!F36-SUM('C1-Sum'!E12:E17)</f>
        <v>75807159.659999967</v>
      </c>
      <c r="F18" s="408">
        <f>'C4-FinPerf RE'!G36-SUM('C1-Sum'!F12:F17)</f>
        <v>80077721.749999881</v>
      </c>
      <c r="G18" s="650">
        <f>'C4-FinPerf RE'!H36-SUM('C1-Sum'!G12:G17)</f>
        <v>130475024.28767502</v>
      </c>
      <c r="H18" s="408">
        <f t="shared" si="1"/>
        <v>-50397302.537675142</v>
      </c>
      <c r="I18" s="207">
        <f t="shared" si="2"/>
        <v>-0.38626015065195729</v>
      </c>
      <c r="J18" s="642">
        <f>'C4-FinPerf RE'!K36-SUM('C1-Sum'!J12:J17)</f>
        <v>782850145.72604942</v>
      </c>
    </row>
    <row r="19" spans="1:11" ht="12.75" customHeight="1" x14ac:dyDescent="0.25">
      <c r="A19" s="583" t="s">
        <v>488</v>
      </c>
      <c r="B19" s="660">
        <f t="shared" ref="B19:G19" si="3">SUM(B12:B18)</f>
        <v>0</v>
      </c>
      <c r="C19" s="661">
        <f t="shared" si="3"/>
        <v>5516477469.5446281</v>
      </c>
      <c r="D19" s="662">
        <f t="shared" si="3"/>
        <v>0</v>
      </c>
      <c r="E19" s="662">
        <f t="shared" si="3"/>
        <v>581114977.30000007</v>
      </c>
      <c r="F19" s="662">
        <f t="shared" si="3"/>
        <v>736047932.21999979</v>
      </c>
      <c r="G19" s="663">
        <f t="shared" si="3"/>
        <v>919412911.59077132</v>
      </c>
      <c r="H19" s="662">
        <f t="shared" si="1"/>
        <v>-183364979.37077153</v>
      </c>
      <c r="I19" s="382">
        <f t="shared" si="2"/>
        <v>-0.19943702884649817</v>
      </c>
      <c r="J19" s="664">
        <f>SUM(J12:J18)</f>
        <v>5516477469.5446281</v>
      </c>
    </row>
    <row r="20" spans="1:11" ht="12.75" customHeight="1" x14ac:dyDescent="0.25">
      <c r="A20" s="153" t="s">
        <v>489</v>
      </c>
      <c r="B20" s="665">
        <f t="shared" ref="B20:G20" si="4">B11-B19</f>
        <v>0</v>
      </c>
      <c r="C20" s="666">
        <f t="shared" si="4"/>
        <v>401332788.32743359</v>
      </c>
      <c r="D20" s="637">
        <f t="shared" si="4"/>
        <v>0</v>
      </c>
      <c r="E20" s="637">
        <f t="shared" si="4"/>
        <v>102791809.06000006</v>
      </c>
      <c r="F20" s="637">
        <f t="shared" si="4"/>
        <v>366021400.49000001</v>
      </c>
      <c r="G20" s="667">
        <f t="shared" si="4"/>
        <v>66888798.054572225</v>
      </c>
      <c r="H20" s="637">
        <f t="shared" si="1"/>
        <v>299132602.43542778</v>
      </c>
      <c r="I20" s="206">
        <f t="shared" si="2"/>
        <v>4.4720881692533325</v>
      </c>
      <c r="J20" s="641">
        <f>J11-J19</f>
        <v>401332788.32743359</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0</v>
      </c>
      <c r="E21" s="983">
        <f>'C4-FinPerf RE'!F39</f>
        <v>27157760.050000004</v>
      </c>
      <c r="F21" s="983">
        <f>'C4-FinPerf RE'!G39</f>
        <v>28148168.810000002</v>
      </c>
      <c r="G21" s="984">
        <f>'C4-FinPerf RE'!H39</f>
        <v>87648596.833333299</v>
      </c>
      <c r="H21" s="983">
        <f t="shared" si="1"/>
        <v>-59500428.023333296</v>
      </c>
      <c r="I21" s="985">
        <f t="shared" si="2"/>
        <v>-0.67885203155591101</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0</v>
      </c>
      <c r="E23" s="657">
        <f t="shared" si="5"/>
        <v>129949569.11000007</v>
      </c>
      <c r="F23" s="657">
        <f t="shared" si="5"/>
        <v>394169569.30000001</v>
      </c>
      <c r="G23" s="658">
        <f t="shared" si="5"/>
        <v>154537394.88790554</v>
      </c>
      <c r="H23" s="657">
        <f t="shared" si="1"/>
        <v>239632174.41209447</v>
      </c>
      <c r="I23" s="592">
        <f t="shared" si="2"/>
        <v>1.550641995653627</v>
      </c>
      <c r="J23" s="659">
        <f>J20+J21+J22</f>
        <v>927224369.32743335</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0</v>
      </c>
      <c r="E25" s="637">
        <f t="shared" si="6"/>
        <v>129949569.11000007</v>
      </c>
      <c r="F25" s="637">
        <f t="shared" si="6"/>
        <v>394169569.30000001</v>
      </c>
      <c r="G25" s="667">
        <f t="shared" si="6"/>
        <v>154537394.88790554</v>
      </c>
      <c r="H25" s="637">
        <f t="shared" si="1"/>
        <v>239632174.41209447</v>
      </c>
      <c r="I25" s="206">
        <f t="shared" si="2"/>
        <v>1.550641995653627</v>
      </c>
      <c r="J25" s="641">
        <f>J23+J24</f>
        <v>927224369.32743335</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0</v>
      </c>
      <c r="E28" s="662">
        <f>'C5-Capex'!F40</f>
        <v>28293389.689999998</v>
      </c>
      <c r="F28" s="662">
        <f>'C5-Capex'!G40</f>
        <v>29230038.23</v>
      </c>
      <c r="G28" s="663">
        <f>'C5-Capex'!H40</f>
        <v>96815263.5</v>
      </c>
      <c r="H28" s="662">
        <f t="shared" ref="H28:H33" si="7">F28-G28</f>
        <v>-67585225.269999996</v>
      </c>
      <c r="I28" s="382">
        <f t="shared" ref="I28:I33" si="8">IF(H28=0,"",H28/G28)</f>
        <v>-0.69808440143325123</v>
      </c>
      <c r="J28" s="664">
        <f>'C5-Capex'!K40</f>
        <v>580891581</v>
      </c>
    </row>
    <row r="29" spans="1:11" ht="12.75" customHeight="1" x14ac:dyDescent="0.25">
      <c r="A29" s="152" t="s">
        <v>499</v>
      </c>
      <c r="B29" s="648">
        <f>'C5-Capex'!C70</f>
        <v>0</v>
      </c>
      <c r="C29" s="649">
        <f>'C5-Capex'!D70</f>
        <v>525891580.99999988</v>
      </c>
      <c r="D29" s="408">
        <f>'C5-Capex'!E70</f>
        <v>0</v>
      </c>
      <c r="E29" s="408">
        <f>'C5-Capex'!F70</f>
        <v>27157789.689999998</v>
      </c>
      <c r="F29" s="408">
        <f>'C5-Capex'!G70</f>
        <v>28191438.229999997</v>
      </c>
      <c r="G29" s="650">
        <f>'C5-Capex'!H70</f>
        <v>87648596.833333313</v>
      </c>
      <c r="H29" s="408">
        <f t="shared" si="7"/>
        <v>-59457158.603333317</v>
      </c>
      <c r="I29" s="591">
        <f t="shared" si="8"/>
        <v>-0.67835836227239388</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0</v>
      </c>
      <c r="E32" s="662">
        <f>'C5-Capex'!F73</f>
        <v>1135600</v>
      </c>
      <c r="F32" s="662">
        <f>'C5-Capex'!G73</f>
        <v>1038600</v>
      </c>
      <c r="G32" s="663">
        <f>'C5-Capex'!H73</f>
        <v>9166666.666666666</v>
      </c>
      <c r="H32" s="662">
        <f t="shared" si="7"/>
        <v>-8128066.666666666</v>
      </c>
      <c r="I32" s="382">
        <f t="shared" si="8"/>
        <v>-0.88669818181818183</v>
      </c>
      <c r="J32" s="664">
        <f>'C5-Capex'!K73</f>
        <v>55000000</v>
      </c>
      <c r="K32" s="156"/>
    </row>
    <row r="33" spans="1:10" ht="12.75" customHeight="1" x14ac:dyDescent="0.25">
      <c r="A33" s="583" t="s">
        <v>137</v>
      </c>
      <c r="B33" s="668">
        <f t="shared" ref="B33:G33" si="9">+B29+B31+B32</f>
        <v>0</v>
      </c>
      <c r="C33" s="613">
        <f t="shared" si="9"/>
        <v>580891580.99999988</v>
      </c>
      <c r="D33" s="611">
        <f t="shared" si="9"/>
        <v>0</v>
      </c>
      <c r="E33" s="611">
        <f t="shared" si="9"/>
        <v>28293389.689999998</v>
      </c>
      <c r="F33" s="611">
        <f t="shared" si="9"/>
        <v>29230038.229999997</v>
      </c>
      <c r="G33" s="612">
        <f t="shared" si="9"/>
        <v>96815263.499999985</v>
      </c>
      <c r="H33" s="611">
        <f t="shared" si="7"/>
        <v>-67585225.269999981</v>
      </c>
      <c r="I33" s="594">
        <f t="shared" si="8"/>
        <v>-0.69808440143325123</v>
      </c>
      <c r="J33" s="614">
        <f>+J29+J31+J32</f>
        <v>580891580.99999988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0</v>
      </c>
      <c r="E36" s="408"/>
      <c r="F36" s="408">
        <f>'C6-FinPos'!F13</f>
        <v>2823676649.670001</v>
      </c>
      <c r="G36" s="217"/>
      <c r="H36" s="217"/>
      <c r="I36" s="219"/>
      <c r="J36" s="642">
        <f>'C6-FinPos'!G13</f>
        <v>2972344764.6444831</v>
      </c>
    </row>
    <row r="37" spans="1:10" ht="12.75" customHeight="1" x14ac:dyDescent="0.25">
      <c r="A37" s="152" t="s">
        <v>631</v>
      </c>
      <c r="B37" s="648">
        <f>'C6-FinPos'!C25</f>
        <v>0</v>
      </c>
      <c r="C37" s="649">
        <f>'C6-FinPos'!D25</f>
        <v>8340425652.5764656</v>
      </c>
      <c r="D37" s="408">
        <f>'C6-FinPos'!E25</f>
        <v>0</v>
      </c>
      <c r="E37" s="408"/>
      <c r="F37" s="408">
        <f>'C6-FinPos'!F25</f>
        <v>7997400159.0300007</v>
      </c>
      <c r="G37" s="217"/>
      <c r="H37" s="217"/>
      <c r="I37" s="219"/>
      <c r="J37" s="642">
        <f>'C6-FinPos'!G25</f>
        <v>8340425652.5764656</v>
      </c>
    </row>
    <row r="38" spans="1:10" ht="12.75" customHeight="1" x14ac:dyDescent="0.25">
      <c r="A38" s="152" t="s">
        <v>459</v>
      </c>
      <c r="B38" s="648">
        <f>'C6-FinPos'!C35</f>
        <v>0</v>
      </c>
      <c r="C38" s="649">
        <f>'C6-FinPos'!D35</f>
        <v>1441718351.4141357</v>
      </c>
      <c r="D38" s="408">
        <f>'C6-FinPos'!E35</f>
        <v>0</v>
      </c>
      <c r="E38" s="408"/>
      <c r="F38" s="408">
        <f>'C6-FinPos'!F35</f>
        <v>1429600941.6099999</v>
      </c>
      <c r="G38" s="217"/>
      <c r="H38" s="217"/>
      <c r="I38" s="219"/>
      <c r="J38" s="642">
        <f>'C6-FinPos'!G35</f>
        <v>1441718351.4141357</v>
      </c>
    </row>
    <row r="39" spans="1:10" ht="12.75" customHeight="1" x14ac:dyDescent="0.25">
      <c r="A39" s="152" t="s">
        <v>458</v>
      </c>
      <c r="B39" s="648">
        <f>'C6-FinPos'!C40</f>
        <v>0</v>
      </c>
      <c r="C39" s="649">
        <f>'C6-FinPos'!D40</f>
        <v>1091864951.9305663</v>
      </c>
      <c r="D39" s="408">
        <f>'C6-FinPos'!E40</f>
        <v>0</v>
      </c>
      <c r="E39" s="408"/>
      <c r="F39" s="408">
        <f>'C6-FinPos'!F40</f>
        <v>855792380.28999996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0</v>
      </c>
      <c r="E40" s="408"/>
      <c r="F40" s="637">
        <f>'C6-FinPos'!F48</f>
        <v>8535683486.8000011</v>
      </c>
      <c r="G40" s="595"/>
      <c r="H40" s="595"/>
      <c r="I40" s="596"/>
      <c r="J40" s="641">
        <f>'C6-FinPos'!G48</f>
        <v>8779187113.8762474</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0</v>
      </c>
      <c r="E43" s="408">
        <f>'C7-CFlow'!F18</f>
        <v>0</v>
      </c>
      <c r="F43" s="408">
        <f>'C7-CFlow'!G18</f>
        <v>0</v>
      </c>
      <c r="G43" s="650">
        <f>'C7-CFlow'!H18</f>
        <v>125422238.40542698</v>
      </c>
      <c r="H43" s="408">
        <f>G43-F43</f>
        <v>125422238.40542698</v>
      </c>
      <c r="I43" s="207">
        <f>IF(H43=0,"",H43/G43)</f>
        <v>1</v>
      </c>
      <c r="J43" s="642">
        <f>'C7-CFlow'!K18</f>
        <v>752533430.43256187</v>
      </c>
    </row>
    <row r="44" spans="1:10" ht="12.75" customHeight="1" x14ac:dyDescent="0.25">
      <c r="A44" s="152" t="s">
        <v>649</v>
      </c>
      <c r="B44" s="648">
        <f>'C7-CFlow'!C28</f>
        <v>0</v>
      </c>
      <c r="C44" s="649">
        <f>'C7-CFlow'!D28</f>
        <v>-580891580.99999988</v>
      </c>
      <c r="D44" s="408">
        <f>'C7-CFlow'!E28</f>
        <v>0</v>
      </c>
      <c r="E44" s="408">
        <f>'C7-CFlow'!F28</f>
        <v>0</v>
      </c>
      <c r="F44" s="408">
        <f>'C7-CFlow'!G28</f>
        <v>0</v>
      </c>
      <c r="G44" s="650">
        <f>'C7-CFlow'!H28</f>
        <v>-96815263.499999985</v>
      </c>
      <c r="H44" s="408">
        <f>G44-F44</f>
        <v>-96815263.499999985</v>
      </c>
      <c r="I44" s="207">
        <f>IF(H44=0,"",H44/G44)</f>
        <v>1</v>
      </c>
      <c r="J44" s="642">
        <f>'C7-CFlow'!K28</f>
        <v>-580891580.99999988</v>
      </c>
    </row>
    <row r="45" spans="1:10" ht="12.75" customHeight="1" x14ac:dyDescent="0.25">
      <c r="A45" s="152" t="s">
        <v>647</v>
      </c>
      <c r="B45" s="648">
        <f>'C7-CFlow'!C37</f>
        <v>0</v>
      </c>
      <c r="C45" s="649">
        <f>'C7-CFlow'!D37</f>
        <v>-79206000</v>
      </c>
      <c r="D45" s="408">
        <f>'C7-CFlow'!E37</f>
        <v>0</v>
      </c>
      <c r="E45" s="408">
        <f>'C7-CFlow'!F37</f>
        <v>0</v>
      </c>
      <c r="F45" s="408">
        <f>'C7-CFlow'!G37</f>
        <v>0</v>
      </c>
      <c r="G45" s="650">
        <f>'C7-CFlow'!H37</f>
        <v>-13201000</v>
      </c>
      <c r="H45" s="408">
        <f>G45-F45</f>
        <v>-13201000</v>
      </c>
      <c r="I45" s="207">
        <f>IF(H45=0,"",H45/G45)</f>
        <v>1</v>
      </c>
      <c r="J45" s="642">
        <f>'C7-CFlow'!K37</f>
        <v>-79206000</v>
      </c>
    </row>
    <row r="46" spans="1:10" ht="12.75" customHeight="1" x14ac:dyDescent="0.25">
      <c r="A46" s="153" t="s">
        <v>54</v>
      </c>
      <c r="B46" s="665">
        <f>'C7-CFlow'!C41</f>
        <v>0</v>
      </c>
      <c r="C46" s="666">
        <f>'C7-CFlow'!D41</f>
        <v>382435849.43256199</v>
      </c>
      <c r="D46" s="637">
        <f>'C7-CFlow'!E41</f>
        <v>0</v>
      </c>
      <c r="E46" s="637">
        <f>'C7-CFlow'!F41</f>
        <v>0</v>
      </c>
      <c r="F46" s="637">
        <f>'C7-CFlow'!G41</f>
        <v>0</v>
      </c>
      <c r="G46" s="667">
        <f>'C7-CFlow'!H41</f>
        <v>305405974.90542698</v>
      </c>
      <c r="H46" s="637">
        <f>G46-F46</f>
        <v>305405974.90542698</v>
      </c>
      <c r="I46" s="206">
        <f>IF(H46=0,"",H46/G46)</f>
        <v>1</v>
      </c>
      <c r="J46" s="641">
        <f>'C7-CFlow'!K41</f>
        <v>92435849.432561994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647966518.10000002</v>
      </c>
      <c r="C50" s="649">
        <f>'SC3'!D14</f>
        <v>125816778.75</v>
      </c>
      <c r="D50" s="408">
        <f>'SC3'!E14</f>
        <v>100265811.34</v>
      </c>
      <c r="E50" s="408">
        <f>'SC3'!F14</f>
        <v>67346119.559999987</v>
      </c>
      <c r="F50" s="408">
        <f>'SC3'!G14</f>
        <v>93741619.730000004</v>
      </c>
      <c r="G50" s="650">
        <f>'SC3'!H14</f>
        <v>92530151.920000002</v>
      </c>
      <c r="H50" s="408">
        <f>'SC3'!I14</f>
        <v>542179754.99000001</v>
      </c>
      <c r="I50" s="650">
        <f>'SC3'!J14</f>
        <v>2942218257.9099998</v>
      </c>
      <c r="J50" s="642">
        <f>'SC3'!K14</f>
        <v>4612065012.3000002</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804604498.12</v>
      </c>
      <c r="C52" s="649">
        <f>'SC4'!D15</f>
        <v>114240208.78</v>
      </c>
      <c r="D52" s="408">
        <f>'SC4'!E15</f>
        <v>49977816.369999997</v>
      </c>
      <c r="E52" s="408">
        <f>'SC4'!F15</f>
        <v>288067.40999999997</v>
      </c>
      <c r="F52" s="408">
        <f>'SC4'!G15</f>
        <v>65950.679999999993</v>
      </c>
      <c r="G52" s="650">
        <f>'SC4'!H15</f>
        <v>197676.86</v>
      </c>
      <c r="H52" s="408">
        <f>'SC4'!I15</f>
        <v>75892.719999998808</v>
      </c>
      <c r="I52" s="650">
        <f>'SC4'!J15</f>
        <v>597518.71</v>
      </c>
      <c r="J52" s="642">
        <f>'SC4'!K15</f>
        <v>970047629.64999998</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4"/>
      <c r="B55" s="1034"/>
      <c r="C55" s="1034"/>
      <c r="D55" s="1034"/>
      <c r="E55" s="1034"/>
      <c r="F55" s="1034"/>
      <c r="G55" s="1034"/>
      <c r="H55" s="1034"/>
      <c r="I55" s="1034"/>
      <c r="J55" s="103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3" activePane="bottomRight" state="frozen"/>
      <selection pane="topRight"/>
      <selection pane="bottomLeft"/>
      <selection pane="bottomRight" sqref="A1:K50"/>
    </sheetView>
  </sheetViews>
  <sheetFormatPr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4" t="str">
        <f>muni&amp; " - "&amp;S71A&amp; " - "&amp;date</f>
        <v>KZN225 Msunduzi - Table C2 Consolidated Monthly Budget Statement - Financial Performance (functional classification)  - M02 August</v>
      </c>
      <c r="B1" s="1044"/>
      <c r="C1" s="1044"/>
      <c r="D1" s="1044"/>
      <c r="E1" s="1044"/>
      <c r="F1" s="1044"/>
      <c r="G1" s="1044"/>
      <c r="H1" s="1044"/>
      <c r="I1" s="1044"/>
      <c r="J1" s="1044"/>
      <c r="K1" s="1044"/>
    </row>
    <row r="2" spans="1:18" x14ac:dyDescent="0.25">
      <c r="A2" s="1042" t="str">
        <f>desc</f>
        <v>Description</v>
      </c>
      <c r="B2" s="1040" t="str">
        <f>head27</f>
        <v>Ref</v>
      </c>
      <c r="C2" s="24" t="str">
        <f>Head1</f>
        <v>2019/20</v>
      </c>
      <c r="D2" s="231" t="str">
        <f>Head2</f>
        <v>Budget Year 2020/21</v>
      </c>
      <c r="E2" s="229"/>
      <c r="F2" s="229"/>
      <c r="G2" s="229"/>
      <c r="H2" s="229"/>
      <c r="I2" s="229"/>
      <c r="J2" s="229"/>
      <c r="K2" s="230"/>
    </row>
    <row r="3" spans="1:18"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0</v>
      </c>
      <c r="F6" s="637">
        <f t="shared" si="0"/>
        <v>249061627.24000001</v>
      </c>
      <c r="G6" s="637">
        <f t="shared" si="0"/>
        <v>353674651.47000009</v>
      </c>
      <c r="H6" s="637">
        <f t="shared" si="0"/>
        <v>262056417.05291933</v>
      </c>
      <c r="I6" s="47">
        <f t="shared" ref="I6:I13" si="1">G6-H6</f>
        <v>91618234.41708076</v>
      </c>
      <c r="J6" s="200">
        <f>IF(I6=0,"",I6/H6)</f>
        <v>0.34961263474261534</v>
      </c>
      <c r="K6" s="641">
        <f>SUM(K7:K9)</f>
        <v>1572338502.3175159</v>
      </c>
      <c r="L6" s="100"/>
      <c r="Q6" s="69"/>
      <c r="R6" s="70"/>
    </row>
    <row r="7" spans="1:18" ht="12.75" customHeight="1" x14ac:dyDescent="0.25">
      <c r="A7" s="416" t="s">
        <v>108</v>
      </c>
      <c r="B7" s="415"/>
      <c r="C7" s="642">
        <f>'C2C'!C7</f>
        <v>0</v>
      </c>
      <c r="D7" s="670">
        <f>'C2C'!D7</f>
        <v>4447530.0133999996</v>
      </c>
      <c r="E7" s="408">
        <f>'C2C'!E7</f>
        <v>0</v>
      </c>
      <c r="F7" s="408">
        <f>'C2C'!F7</f>
        <v>0</v>
      </c>
      <c r="G7" s="408">
        <f>'C2C'!G7</f>
        <v>0</v>
      </c>
      <c r="H7" s="408">
        <f>'C2C'!H7</f>
        <v>741255.0022333333</v>
      </c>
      <c r="I7" s="47">
        <f t="shared" si="1"/>
        <v>-741255.0022333333</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0</v>
      </c>
      <c r="F8" s="672">
        <f>'C2C'!F10</f>
        <v>249061627.24000001</v>
      </c>
      <c r="G8" s="672">
        <f>'C2C'!G10</f>
        <v>353674651.47000009</v>
      </c>
      <c r="H8" s="672">
        <f>'C2C'!H10</f>
        <v>261315162.050686</v>
      </c>
      <c r="I8" s="47">
        <f t="shared" si="1"/>
        <v>92359489.419314086</v>
      </c>
      <c r="J8" s="200">
        <f t="shared" si="2"/>
        <v>0.353440989395784</v>
      </c>
      <c r="K8" s="673">
        <f>'C2C'!K10</f>
        <v>1567890972.3041158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0</v>
      </c>
      <c r="F10" s="637">
        <f t="shared" si="3"/>
        <v>10749223.369999873</v>
      </c>
      <c r="G10" s="637">
        <f t="shared" si="3"/>
        <v>12126385.929999571</v>
      </c>
      <c r="H10" s="637">
        <f t="shared" si="3"/>
        <v>61541842.412869297</v>
      </c>
      <c r="I10" s="47">
        <f t="shared" si="1"/>
        <v>-49415456.482869729</v>
      </c>
      <c r="J10" s="200">
        <f t="shared" si="2"/>
        <v>-0.80295705402112294</v>
      </c>
      <c r="K10" s="641">
        <f>SUM(K11:K15)</f>
        <v>369251054.47721577</v>
      </c>
      <c r="L10" s="100"/>
      <c r="Q10" s="69"/>
      <c r="R10" s="70"/>
    </row>
    <row r="11" spans="1:18" ht="12.75" customHeight="1" x14ac:dyDescent="0.25">
      <c r="A11" s="416" t="s">
        <v>110</v>
      </c>
      <c r="B11" s="415"/>
      <c r="C11" s="642">
        <f>'C2C'!C27</f>
        <v>0</v>
      </c>
      <c r="D11" s="670">
        <f>'C2C'!D27</f>
        <v>26242986.682700001</v>
      </c>
      <c r="E11" s="408">
        <f>'C2C'!E27</f>
        <v>0</v>
      </c>
      <c r="F11" s="408">
        <f>'C2C'!F27</f>
        <v>1956039.43</v>
      </c>
      <c r="G11" s="408">
        <f>'C2C'!G27</f>
        <v>632953.31000000017</v>
      </c>
      <c r="H11" s="408">
        <f>'C2C'!H27</f>
        <v>4373831.1137833335</v>
      </c>
      <c r="I11" s="47">
        <f t="shared" si="1"/>
        <v>-3740877.8037833334</v>
      </c>
      <c r="J11" s="200">
        <f t="shared" si="2"/>
        <v>-0.855286293975695</v>
      </c>
      <c r="K11" s="642">
        <f>'C2C'!K27</f>
        <v>26242986.682700001</v>
      </c>
      <c r="L11" s="100"/>
      <c r="Q11" s="69"/>
      <c r="R11" s="70"/>
    </row>
    <row r="12" spans="1:18" ht="12.75" customHeight="1" x14ac:dyDescent="0.25">
      <c r="A12" s="416" t="s">
        <v>111</v>
      </c>
      <c r="B12" s="415"/>
      <c r="C12" s="642">
        <f>'C2C'!C49</f>
        <v>0</v>
      </c>
      <c r="D12" s="670">
        <f>'C2C'!D49</f>
        <v>11002054.78726843</v>
      </c>
      <c r="E12" s="408">
        <f>'C2C'!E49</f>
        <v>0</v>
      </c>
      <c r="F12" s="408">
        <f>'C2C'!F49</f>
        <v>997696.51</v>
      </c>
      <c r="G12" s="408">
        <f>'C2C'!G49</f>
        <v>289650.40999999997</v>
      </c>
      <c r="H12" s="408">
        <f>'C2C'!H49</f>
        <v>1833675.7978780717</v>
      </c>
      <c r="I12" s="47">
        <f t="shared" si="1"/>
        <v>-1544025.3878780717</v>
      </c>
      <c r="J12" s="200">
        <f t="shared" si="2"/>
        <v>-0.8420383743215768</v>
      </c>
      <c r="K12" s="642">
        <f>'C2C'!K49</f>
        <v>11002054.78726843</v>
      </c>
      <c r="L12" s="100"/>
      <c r="Q12" s="69"/>
      <c r="R12" s="70"/>
    </row>
    <row r="13" spans="1:18" ht="12.75" customHeight="1" x14ac:dyDescent="0.25">
      <c r="A13" s="416" t="s">
        <v>112</v>
      </c>
      <c r="B13" s="415"/>
      <c r="C13" s="642">
        <f>'C2C'!C55</f>
        <v>0</v>
      </c>
      <c r="D13" s="670">
        <f>'C2C'!D55</f>
        <v>3768735.4638999999</v>
      </c>
      <c r="E13" s="408">
        <f>'C2C'!E55</f>
        <v>0</v>
      </c>
      <c r="F13" s="408">
        <f>'C2C'!F55</f>
        <v>205329.32999987603</v>
      </c>
      <c r="G13" s="408">
        <f>'C2C'!G55</f>
        <v>273829.5299995708</v>
      </c>
      <c r="H13" s="408">
        <f>'C2C'!H55</f>
        <v>628122.57731666672</v>
      </c>
      <c r="I13" s="47">
        <f t="shared" si="1"/>
        <v>-354293.04731709592</v>
      </c>
      <c r="J13" s="200">
        <f t="shared" si="2"/>
        <v>-0.56405080809327413</v>
      </c>
      <c r="K13" s="642">
        <f>'C2C'!K55</f>
        <v>3768735.4638999999</v>
      </c>
      <c r="L13" s="100"/>
      <c r="Q13" s="69"/>
      <c r="R13" s="70"/>
    </row>
    <row r="14" spans="1:18" ht="12.75" customHeight="1" x14ac:dyDescent="0.25">
      <c r="A14" s="416" t="s">
        <v>711</v>
      </c>
      <c r="B14" s="415"/>
      <c r="C14" s="642">
        <f>'C2C'!C64</f>
        <v>0</v>
      </c>
      <c r="D14" s="670">
        <f>'C2C'!D64</f>
        <v>328237277.54334736</v>
      </c>
      <c r="E14" s="408">
        <f>'C2C'!E64</f>
        <v>0</v>
      </c>
      <c r="F14" s="408">
        <f>'C2C'!F64</f>
        <v>7590158.0999999968</v>
      </c>
      <c r="G14" s="408">
        <f>'C2C'!G64</f>
        <v>10929952.68</v>
      </c>
      <c r="H14" s="408">
        <f>'C2C'!H64</f>
        <v>54706212.923891224</v>
      </c>
      <c r="I14" s="47">
        <f t="shared" ref="I14:I19" si="4">G14-H14</f>
        <v>-43776260.243891224</v>
      </c>
      <c r="J14" s="200">
        <f t="shared" ref="J14:J19" si="5">IF(I14=0,"",I14/H14)</f>
        <v>-0.80020637335642208</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0</v>
      </c>
      <c r="F16" s="637">
        <f t="shared" si="6"/>
        <v>10122774.770000001</v>
      </c>
      <c r="G16" s="637">
        <f t="shared" si="6"/>
        <v>9645847.8399999999</v>
      </c>
      <c r="H16" s="637">
        <f t="shared" si="6"/>
        <v>17820572.395635866</v>
      </c>
      <c r="I16" s="47">
        <f t="shared" si="4"/>
        <v>-8174724.5556358658</v>
      </c>
      <c r="J16" s="200">
        <f t="shared" si="5"/>
        <v>-0.45872401706006927</v>
      </c>
      <c r="K16" s="641">
        <f>SUM(K17:K19)</f>
        <v>106923434.37381519</v>
      </c>
      <c r="L16" s="100"/>
      <c r="Q16" s="69"/>
      <c r="R16" s="70"/>
    </row>
    <row r="17" spans="1:18" ht="12.75" customHeight="1" x14ac:dyDescent="0.25">
      <c r="A17" s="416" t="s">
        <v>114</v>
      </c>
      <c r="B17" s="415"/>
      <c r="C17" s="642">
        <f>'C2C'!C76</f>
        <v>0</v>
      </c>
      <c r="D17" s="670">
        <f>'C2C'!D76</f>
        <v>41022287.158399999</v>
      </c>
      <c r="E17" s="408">
        <f>'C2C'!E76</f>
        <v>0</v>
      </c>
      <c r="F17" s="408">
        <f>'C2C'!F76</f>
        <v>187151.66999999998</v>
      </c>
      <c r="G17" s="408">
        <f>'C2C'!G76</f>
        <v>-812370.05999999994</v>
      </c>
      <c r="H17" s="408">
        <f>'C2C'!H76</f>
        <v>6837047.8597333329</v>
      </c>
      <c r="I17" s="47">
        <f t="shared" si="4"/>
        <v>-7649417.9197333325</v>
      </c>
      <c r="J17" s="200">
        <f t="shared" si="5"/>
        <v>-1.1188188347758157</v>
      </c>
      <c r="K17" s="642">
        <f>'C2C'!K76</f>
        <v>41022287.158399999</v>
      </c>
      <c r="L17" s="100"/>
      <c r="Q17" s="69"/>
      <c r="R17" s="70"/>
    </row>
    <row r="18" spans="1:18" ht="12.75" customHeight="1" x14ac:dyDescent="0.25">
      <c r="A18" s="416" t="s">
        <v>115</v>
      </c>
      <c r="B18" s="415"/>
      <c r="C18" s="642">
        <f>'C2C'!C87</f>
        <v>0</v>
      </c>
      <c r="D18" s="670">
        <f>'C2C'!D87</f>
        <v>65792799.755315199</v>
      </c>
      <c r="E18" s="408">
        <f>'C2C'!E87</f>
        <v>0</v>
      </c>
      <c r="F18" s="408">
        <f>'C2C'!F87</f>
        <v>9935623.1000000015</v>
      </c>
      <c r="G18" s="408">
        <f>'C2C'!G87</f>
        <v>10449717.9</v>
      </c>
      <c r="H18" s="408">
        <f>'C2C'!H87</f>
        <v>10965466.625885867</v>
      </c>
      <c r="I18" s="47">
        <f t="shared" si="4"/>
        <v>-515748.72588586621</v>
      </c>
      <c r="J18" s="200">
        <f t="shared" si="5"/>
        <v>-4.7033905941435521E-2</v>
      </c>
      <c r="K18" s="642">
        <f>'C2C'!K87</f>
        <v>65792799.755315199</v>
      </c>
      <c r="L18" s="100"/>
      <c r="Q18" s="69"/>
      <c r="R18" s="70"/>
    </row>
    <row r="19" spans="1:18" ht="12.75" customHeight="1" x14ac:dyDescent="0.25">
      <c r="A19" s="416" t="s">
        <v>116</v>
      </c>
      <c r="B19" s="415"/>
      <c r="C19" s="642">
        <f>'C2C'!C92</f>
        <v>0</v>
      </c>
      <c r="D19" s="670">
        <f>'C2C'!D92</f>
        <v>108347.4601</v>
      </c>
      <c r="E19" s="408">
        <f>'C2C'!E92</f>
        <v>0</v>
      </c>
      <c r="F19" s="408">
        <f>'C2C'!F92</f>
        <v>0</v>
      </c>
      <c r="G19" s="408">
        <f>'C2C'!G92</f>
        <v>8500</v>
      </c>
      <c r="H19" s="408">
        <f>'C2C'!H92</f>
        <v>18057.910016666665</v>
      </c>
      <c r="I19" s="47">
        <f t="shared" si="4"/>
        <v>-9557.9100166666649</v>
      </c>
      <c r="J19" s="200">
        <f t="shared" si="5"/>
        <v>-0.52929214996891283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0</v>
      </c>
      <c r="F20" s="637">
        <f t="shared" si="7"/>
        <v>439405855.5</v>
      </c>
      <c r="G20" s="637">
        <f t="shared" si="7"/>
        <v>752233579.58000004</v>
      </c>
      <c r="H20" s="637">
        <f t="shared" si="7"/>
        <v>721992298.5029192</v>
      </c>
      <c r="I20" s="47">
        <f t="shared" si="7"/>
        <v>30241281.077080756</v>
      </c>
      <c r="J20" s="200">
        <f t="shared" si="2"/>
        <v>4.1885877646876984E-2</v>
      </c>
      <c r="K20" s="641">
        <f>SUM(K21:K24)</f>
        <v>4331953791.0175152</v>
      </c>
      <c r="L20" s="100"/>
      <c r="Q20" s="69"/>
      <c r="R20" s="70"/>
    </row>
    <row r="21" spans="1:18" ht="12.75" customHeight="1" x14ac:dyDescent="0.25">
      <c r="A21" s="416" t="s">
        <v>1191</v>
      </c>
      <c r="B21" s="415"/>
      <c r="C21" s="642">
        <f>'C2C'!C100</f>
        <v>0</v>
      </c>
      <c r="D21" s="670">
        <f>'C2C'!D100</f>
        <v>2655002808.9206858</v>
      </c>
      <c r="E21" s="408">
        <f>'C2C'!E100</f>
        <v>0</v>
      </c>
      <c r="F21" s="408">
        <f>'C2C'!F100</f>
        <v>223150755.06999996</v>
      </c>
      <c r="G21" s="408">
        <f>'C2C'!G100</f>
        <v>439331988.78999996</v>
      </c>
      <c r="H21" s="408">
        <f>'C2C'!H100</f>
        <v>442500468.15344763</v>
      </c>
      <c r="I21" s="47">
        <f>G21-H21</f>
        <v>-3168479.3634476662</v>
      </c>
      <c r="J21" s="200">
        <f t="shared" si="2"/>
        <v>-7.1603977656107699E-3</v>
      </c>
      <c r="K21" s="642">
        <f>'C2C'!K100</f>
        <v>2655002808.9206858</v>
      </c>
      <c r="L21" s="100"/>
      <c r="Q21" s="69"/>
      <c r="R21" s="70"/>
    </row>
    <row r="22" spans="1:18" ht="12.75" customHeight="1" x14ac:dyDescent="0.25">
      <c r="A22" s="416" t="s">
        <v>1195</v>
      </c>
      <c r="B22" s="415"/>
      <c r="C22" s="642">
        <f>'C2C'!C104</f>
        <v>0</v>
      </c>
      <c r="D22" s="670">
        <f>'C2C'!D104</f>
        <v>1253549994.0011687</v>
      </c>
      <c r="E22" s="408">
        <f>'C2C'!E104</f>
        <v>0</v>
      </c>
      <c r="F22" s="408">
        <f>'C2C'!F104</f>
        <v>160132399.06</v>
      </c>
      <c r="G22" s="408">
        <f>'C2C'!G104</f>
        <v>233974354.88999999</v>
      </c>
      <c r="H22" s="408">
        <f>'C2C'!H104</f>
        <v>208924999.00019479</v>
      </c>
      <c r="I22" s="47">
        <f>G22-H22</f>
        <v>25049355.889805198</v>
      </c>
      <c r="J22" s="200">
        <f t="shared" si="2"/>
        <v>0.11989640306176018</v>
      </c>
      <c r="K22" s="642">
        <f>'C2C'!K104</f>
        <v>1253549994.0011687</v>
      </c>
      <c r="L22" s="100"/>
      <c r="Q22" s="69"/>
      <c r="R22" s="70"/>
    </row>
    <row r="23" spans="1:18" ht="12.75" customHeight="1" x14ac:dyDescent="0.25">
      <c r="A23" s="416" t="s">
        <v>118</v>
      </c>
      <c r="B23" s="415"/>
      <c r="C23" s="643">
        <f>'C2C'!C108</f>
        <v>0</v>
      </c>
      <c r="D23" s="671">
        <f>'C2C'!D108</f>
        <v>173542219.90182328</v>
      </c>
      <c r="E23" s="672">
        <f>'C2C'!E108</f>
        <v>0</v>
      </c>
      <c r="F23" s="672">
        <f>'C2C'!F108</f>
        <v>36018627.579999998</v>
      </c>
      <c r="G23" s="672">
        <f>'C2C'!G108</f>
        <v>49294471.709999993</v>
      </c>
      <c r="H23" s="672">
        <f>'C2C'!H108</f>
        <v>28923703.316970546</v>
      </c>
      <c r="I23" s="47">
        <f>G23-H23</f>
        <v>20370768.393029448</v>
      </c>
      <c r="J23" s="200">
        <f t="shared" si="2"/>
        <v>0.70429322862944754</v>
      </c>
      <c r="K23" s="673">
        <f>'C2C'!K108</f>
        <v>173542219.90182328</v>
      </c>
      <c r="L23" s="100"/>
      <c r="Q23" s="69"/>
      <c r="R23" s="70"/>
    </row>
    <row r="24" spans="1:18" ht="12.75" customHeight="1" x14ac:dyDescent="0.25">
      <c r="A24" s="416" t="s">
        <v>119</v>
      </c>
      <c r="B24" s="415"/>
      <c r="C24" s="642">
        <f>'C2C'!C113</f>
        <v>0</v>
      </c>
      <c r="D24" s="670">
        <f>'C2C'!D113</f>
        <v>249858768.1938374</v>
      </c>
      <c r="E24" s="408">
        <f>'C2C'!E113</f>
        <v>0</v>
      </c>
      <c r="F24" s="408">
        <f>'C2C'!F113</f>
        <v>20104073.789999999</v>
      </c>
      <c r="G24" s="408">
        <f>'C2C'!G113</f>
        <v>29632764.190000005</v>
      </c>
      <c r="H24" s="408">
        <f>'C2C'!H113</f>
        <v>41643128.032306232</v>
      </c>
      <c r="I24" s="47">
        <f>G24-H24</f>
        <v>-12010363.842306226</v>
      </c>
      <c r="J24" s="200">
        <f t="shared" si="2"/>
        <v>-0.28841166381614591</v>
      </c>
      <c r="K24" s="642">
        <f>'C2C'!K113</f>
        <v>249858768.1938374</v>
      </c>
      <c r="L24" s="100"/>
      <c r="Q24" s="69"/>
      <c r="R24" s="70"/>
    </row>
    <row r="25" spans="1:18" ht="12.75" customHeight="1" x14ac:dyDescent="0.25">
      <c r="A25" s="414" t="s">
        <v>718</v>
      </c>
      <c r="B25" s="417">
        <v>4</v>
      </c>
      <c r="C25" s="641">
        <f>'C2C'!C118</f>
        <v>0</v>
      </c>
      <c r="D25" s="669">
        <f>'C2C'!D118</f>
        <v>63610900.686000004</v>
      </c>
      <c r="E25" s="637">
        <f>'C2C'!E118</f>
        <v>0</v>
      </c>
      <c r="F25" s="637">
        <f>'C2C'!F118</f>
        <v>1725065.53</v>
      </c>
      <c r="G25" s="637">
        <f>'C2C'!G118</f>
        <v>2537036.7000000002</v>
      </c>
      <c r="H25" s="637">
        <f>'C2C'!H118</f>
        <v>10601816.781000001</v>
      </c>
      <c r="I25" s="102">
        <f>G25-H25</f>
        <v>-8064780.0810000012</v>
      </c>
      <c r="J25" s="713">
        <f t="shared" si="2"/>
        <v>-0.76069793013714981</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0</v>
      </c>
      <c r="F26" s="545">
        <f t="shared" si="8"/>
        <v>711064546.40999985</v>
      </c>
      <c r="G26" s="545">
        <f t="shared" si="8"/>
        <v>1130217501.5199997</v>
      </c>
      <c r="H26" s="545">
        <f t="shared" si="8"/>
        <v>1074012947.1453435</v>
      </c>
      <c r="I26" s="545">
        <f t="shared" si="8"/>
        <v>56204554.374655917</v>
      </c>
      <c r="J26" s="599">
        <f t="shared" si="2"/>
        <v>5.2331356455286651E-2</v>
      </c>
      <c r="K26" s="597">
        <f>K6+K10+K16+K20+K25</f>
        <v>6444077682.8720617</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0</v>
      </c>
      <c r="F29" s="637">
        <f t="shared" si="9"/>
        <v>62637270.980000004</v>
      </c>
      <c r="G29" s="637">
        <f t="shared" si="9"/>
        <v>115431926.84999999</v>
      </c>
      <c r="H29" s="637">
        <f t="shared" si="9"/>
        <v>225710790.70694196</v>
      </c>
      <c r="I29" s="47">
        <f t="shared" ref="I29:I48" si="10">G29-H29</f>
        <v>-110278863.85694197</v>
      </c>
      <c r="J29" s="200">
        <f>IF(I29=0,"",I29/H29)</f>
        <v>-0.48858481028550238</v>
      </c>
      <c r="K29" s="641">
        <f>SUM(K30:K32)</f>
        <v>1354264744.2416518</v>
      </c>
      <c r="L29" s="100"/>
      <c r="Q29" s="69"/>
    </row>
    <row r="30" spans="1:18" ht="12.75" customHeight="1" x14ac:dyDescent="0.25">
      <c r="A30" s="416" t="s">
        <v>108</v>
      </c>
      <c r="B30" s="428"/>
      <c r="C30" s="642">
        <f>'C2C'!C129</f>
        <v>0</v>
      </c>
      <c r="D30" s="670">
        <f>'C2C'!D129</f>
        <v>137732466.40184778</v>
      </c>
      <c r="E30" s="408">
        <f>'C2C'!E129</f>
        <v>0</v>
      </c>
      <c r="F30" s="408">
        <f>'C2C'!F129</f>
        <v>6895686.1500000004</v>
      </c>
      <c r="G30" s="408">
        <f>'C2C'!G129</f>
        <v>12732448.829999996</v>
      </c>
      <c r="H30" s="408">
        <f>'C2C'!H129</f>
        <v>22955411.066974632</v>
      </c>
      <c r="I30" s="47">
        <f t="shared" si="10"/>
        <v>-10222962.236974636</v>
      </c>
      <c r="J30" s="200">
        <f t="shared" ref="J30:J49" si="11">IF(I30=0,"",I30/H30)</f>
        <v>-0.44533997701666744</v>
      </c>
      <c r="K30" s="642">
        <f>'C2C'!K129</f>
        <v>137732466.40184778</v>
      </c>
      <c r="L30" s="100"/>
      <c r="Q30" s="69"/>
    </row>
    <row r="31" spans="1:18" ht="12.75" customHeight="1" x14ac:dyDescent="0.25">
      <c r="A31" s="416" t="s">
        <v>1123</v>
      </c>
      <c r="B31" s="428"/>
      <c r="C31" s="643">
        <f>'C2C'!C132</f>
        <v>0</v>
      </c>
      <c r="D31" s="671">
        <f>'C2C'!D132</f>
        <v>1194545745.0547059</v>
      </c>
      <c r="E31" s="672">
        <f>'C2C'!E132</f>
        <v>0</v>
      </c>
      <c r="F31" s="672">
        <f>'C2C'!F132</f>
        <v>55253510.790000007</v>
      </c>
      <c r="G31" s="672">
        <f>'C2C'!G132</f>
        <v>101651018.47999999</v>
      </c>
      <c r="H31" s="672">
        <f>'C2C'!H132</f>
        <v>199090957.50911766</v>
      </c>
      <c r="I31" s="47">
        <f t="shared" si="10"/>
        <v>-97439939.029117674</v>
      </c>
      <c r="J31" s="200">
        <f t="shared" si="11"/>
        <v>-0.48942423226155446</v>
      </c>
      <c r="K31" s="673">
        <f>'C2C'!K132</f>
        <v>1194545745.0547059</v>
      </c>
      <c r="L31" s="100"/>
      <c r="Q31" s="69"/>
    </row>
    <row r="32" spans="1:18" ht="12.75" customHeight="1" x14ac:dyDescent="0.25">
      <c r="A32" s="416" t="s">
        <v>1134</v>
      </c>
      <c r="B32" s="428"/>
      <c r="C32" s="642">
        <f>'C2C'!C146</f>
        <v>0</v>
      </c>
      <c r="D32" s="670">
        <f>'C2C'!D146</f>
        <v>21986532.785097998</v>
      </c>
      <c r="E32" s="408">
        <f>'C2C'!E146</f>
        <v>0</v>
      </c>
      <c r="F32" s="408">
        <f>'C2C'!F146</f>
        <v>488074.03999999992</v>
      </c>
      <c r="G32" s="408">
        <f>'C2C'!G146</f>
        <v>1048459.5399999999</v>
      </c>
      <c r="H32" s="408">
        <f>'C2C'!H146</f>
        <v>3664422.1308496664</v>
      </c>
      <c r="I32" s="47">
        <f t="shared" si="10"/>
        <v>-2615962.5908496664</v>
      </c>
      <c r="J32" s="200">
        <f t="shared" si="11"/>
        <v>-0.71388134266155234</v>
      </c>
      <c r="K32" s="642">
        <f>'C2C'!K146</f>
        <v>21986532.785097998</v>
      </c>
      <c r="L32" s="100"/>
      <c r="Q32" s="69"/>
    </row>
    <row r="33" spans="1:17" ht="12.75" customHeight="1" x14ac:dyDescent="0.25">
      <c r="A33" s="414" t="s">
        <v>109</v>
      </c>
      <c r="B33" s="428"/>
      <c r="C33" s="641">
        <f t="shared" ref="C33:H33" si="12">SUM(C34:C38)</f>
        <v>0</v>
      </c>
      <c r="D33" s="669">
        <f t="shared" si="12"/>
        <v>440067727.15977156</v>
      </c>
      <c r="E33" s="637">
        <f t="shared" si="12"/>
        <v>0</v>
      </c>
      <c r="F33" s="637">
        <f t="shared" si="12"/>
        <v>56936772.059999816</v>
      </c>
      <c r="G33" s="637">
        <f t="shared" si="12"/>
        <v>95742528.639999807</v>
      </c>
      <c r="H33" s="637">
        <f t="shared" si="12"/>
        <v>73344621.19329527</v>
      </c>
      <c r="I33" s="47">
        <f t="shared" si="10"/>
        <v>22397907.446704537</v>
      </c>
      <c r="J33" s="200">
        <f t="shared" si="11"/>
        <v>0.30537900506263738</v>
      </c>
      <c r="K33" s="641">
        <f>SUM(K34:K38)</f>
        <v>440067727.15977156</v>
      </c>
      <c r="L33" s="100"/>
      <c r="Q33" s="69"/>
    </row>
    <row r="34" spans="1:17" ht="12.75" customHeight="1" x14ac:dyDescent="0.25">
      <c r="A34" s="416" t="s">
        <v>110</v>
      </c>
      <c r="B34" s="428"/>
      <c r="C34" s="642">
        <f>'C2C'!C149</f>
        <v>0</v>
      </c>
      <c r="D34" s="670">
        <f>'C2C'!D149</f>
        <v>128373725.79885694</v>
      </c>
      <c r="E34" s="408">
        <f>'C2C'!E149</f>
        <v>0</v>
      </c>
      <c r="F34" s="408">
        <f>'C2C'!F149</f>
        <v>26199159.999999993</v>
      </c>
      <c r="G34" s="408">
        <f>'C2C'!G149</f>
        <v>34055078.169999994</v>
      </c>
      <c r="H34" s="408">
        <f>'C2C'!H149</f>
        <v>21395620.966476154</v>
      </c>
      <c r="I34" s="47">
        <f t="shared" si="10"/>
        <v>12659457.203523841</v>
      </c>
      <c r="J34" s="200">
        <f t="shared" si="11"/>
        <v>0.59168449578347737</v>
      </c>
      <c r="K34" s="642">
        <f>'C2C'!K149</f>
        <v>128373725.79885694</v>
      </c>
      <c r="L34" s="100"/>
      <c r="Q34" s="69"/>
    </row>
    <row r="35" spans="1:17" ht="12.75" customHeight="1" x14ac:dyDescent="0.25">
      <c r="A35" s="416" t="s">
        <v>111</v>
      </c>
      <c r="B35" s="428"/>
      <c r="C35" s="642">
        <f>'C2C'!C171</f>
        <v>0</v>
      </c>
      <c r="D35" s="670">
        <f>'C2C'!D171</f>
        <v>114418472.68896006</v>
      </c>
      <c r="E35" s="408">
        <f>'C2C'!E171</f>
        <v>0</v>
      </c>
      <c r="F35" s="408">
        <f>'C2C'!F171</f>
        <v>10013909.170000002</v>
      </c>
      <c r="G35" s="408">
        <f>'C2C'!G171</f>
        <v>19253632.210000005</v>
      </c>
      <c r="H35" s="408">
        <f>'C2C'!H171</f>
        <v>19069745.448160008</v>
      </c>
      <c r="I35" s="47">
        <f t="shared" si="10"/>
        <v>183886.76183999702</v>
      </c>
      <c r="J35" s="200">
        <f t="shared" si="11"/>
        <v>9.6428535105454061E-3</v>
      </c>
      <c r="K35" s="642">
        <f>'C2C'!K171</f>
        <v>114418472.68896006</v>
      </c>
      <c r="L35" s="100"/>
      <c r="Q35" s="69"/>
    </row>
    <row r="36" spans="1:17" ht="12.75" customHeight="1" x14ac:dyDescent="0.25">
      <c r="A36" s="416" t="s">
        <v>112</v>
      </c>
      <c r="B36" s="426"/>
      <c r="C36" s="642">
        <f>'C2C'!C177</f>
        <v>0</v>
      </c>
      <c r="D36" s="670">
        <f>'C2C'!D177</f>
        <v>106871795.2822189</v>
      </c>
      <c r="E36" s="408">
        <f>'C2C'!E177</f>
        <v>0</v>
      </c>
      <c r="F36" s="408">
        <f>'C2C'!F177</f>
        <v>14658334.779999813</v>
      </c>
      <c r="G36" s="408">
        <f>'C2C'!G177</f>
        <v>30081432.789999809</v>
      </c>
      <c r="H36" s="408">
        <f>'C2C'!H177</f>
        <v>17811965.880369816</v>
      </c>
      <c r="I36" s="47">
        <f t="shared" si="10"/>
        <v>12269466.909629993</v>
      </c>
      <c r="J36" s="200">
        <f t="shared" si="11"/>
        <v>0.68883283249222416</v>
      </c>
      <c r="K36" s="642">
        <f>'C2C'!K177</f>
        <v>106871795.2822189</v>
      </c>
      <c r="L36" s="100"/>
      <c r="Q36" s="70"/>
    </row>
    <row r="37" spans="1:17" ht="12.75" customHeight="1" x14ac:dyDescent="0.25">
      <c r="A37" s="416" t="s">
        <v>711</v>
      </c>
      <c r="B37" s="426"/>
      <c r="C37" s="642">
        <f>'C2C'!C186</f>
        <v>0</v>
      </c>
      <c r="D37" s="670">
        <f>'C2C'!D186</f>
        <v>90129848.361797929</v>
      </c>
      <c r="E37" s="408">
        <f>'C2C'!E186</f>
        <v>0</v>
      </c>
      <c r="F37" s="408">
        <f>'C2C'!F186</f>
        <v>5297245.34</v>
      </c>
      <c r="G37" s="408">
        <f>'C2C'!G186</f>
        <v>10859451.080000002</v>
      </c>
      <c r="H37" s="408">
        <f>'C2C'!H186</f>
        <v>15021641.393632988</v>
      </c>
      <c r="I37" s="47">
        <f t="shared" si="10"/>
        <v>-4162190.3136329856</v>
      </c>
      <c r="J37" s="200">
        <f t="shared" si="11"/>
        <v>-0.27707959500332335</v>
      </c>
      <c r="K37" s="642">
        <f>'C2C'!K186</f>
        <v>90129848.361797929</v>
      </c>
      <c r="L37" s="100"/>
      <c r="Q37" s="70"/>
    </row>
    <row r="38" spans="1:17" ht="12.75" customHeight="1" x14ac:dyDescent="0.25">
      <c r="A38" s="416" t="s">
        <v>610</v>
      </c>
      <c r="B38" s="426"/>
      <c r="C38" s="643">
        <f>'C2C'!C189</f>
        <v>0</v>
      </c>
      <c r="D38" s="671">
        <f>'C2C'!D189</f>
        <v>273885.02793777513</v>
      </c>
      <c r="E38" s="672">
        <f>'C2C'!E189</f>
        <v>0</v>
      </c>
      <c r="F38" s="672">
        <f>'C2C'!F189</f>
        <v>768122.76999999979</v>
      </c>
      <c r="G38" s="672">
        <f>'C2C'!G189</f>
        <v>1492934.39</v>
      </c>
      <c r="H38" s="672">
        <f>'C2C'!H189</f>
        <v>45647.504656295852</v>
      </c>
      <c r="I38" s="47">
        <f t="shared" si="10"/>
        <v>1447286.8853437041</v>
      </c>
      <c r="J38" s="200">
        <f t="shared" si="11"/>
        <v>31.705717459061361</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0</v>
      </c>
      <c r="F39" s="637">
        <f t="shared" si="13"/>
        <v>23599199.599999994</v>
      </c>
      <c r="G39" s="637">
        <f t="shared" si="13"/>
        <v>47279818.37999998</v>
      </c>
      <c r="H39" s="637">
        <f t="shared" si="13"/>
        <v>48028885.930574246</v>
      </c>
      <c r="I39" s="47">
        <f t="shared" si="10"/>
        <v>-749067.55057426542</v>
      </c>
      <c r="J39" s="200">
        <f t="shared" si="11"/>
        <v>-1.5596188336682274E-2</v>
      </c>
      <c r="K39" s="641">
        <f>SUM(K40:K42)</f>
        <v>288173315.58344549</v>
      </c>
      <c r="L39" s="100"/>
      <c r="Q39" s="70"/>
    </row>
    <row r="40" spans="1:17" ht="12.75" customHeight="1" x14ac:dyDescent="0.25">
      <c r="A40" s="416" t="s">
        <v>114</v>
      </c>
      <c r="B40" s="426"/>
      <c r="C40" s="642">
        <f>'C2C'!C198</f>
        <v>0</v>
      </c>
      <c r="D40" s="670">
        <f>'C2C'!D198</f>
        <v>92239503.875528902</v>
      </c>
      <c r="E40" s="408">
        <f>'C2C'!E198</f>
        <v>0</v>
      </c>
      <c r="F40" s="408">
        <f>'C2C'!F198</f>
        <v>4875131.870000001</v>
      </c>
      <c r="G40" s="408">
        <f>'C2C'!G198</f>
        <v>9714751.9499999993</v>
      </c>
      <c r="H40" s="408">
        <f>'C2C'!H198</f>
        <v>15373250.645921482</v>
      </c>
      <c r="I40" s="47">
        <f t="shared" si="10"/>
        <v>-5658498.6959214825</v>
      </c>
      <c r="J40" s="200">
        <f t="shared" si="11"/>
        <v>-0.36807431468130525</v>
      </c>
      <c r="K40" s="642">
        <f>'C2C'!K198</f>
        <v>92239503.875528902</v>
      </c>
      <c r="L40" s="100"/>
      <c r="Q40" s="70"/>
    </row>
    <row r="41" spans="1:17" ht="12.75" customHeight="1" x14ac:dyDescent="0.25">
      <c r="A41" s="416" t="s">
        <v>115</v>
      </c>
      <c r="B41" s="426"/>
      <c r="C41" s="642">
        <f>'C2C'!C209</f>
        <v>0</v>
      </c>
      <c r="D41" s="670">
        <f>'C2C'!D209</f>
        <v>171068986.74871668</v>
      </c>
      <c r="E41" s="408">
        <f>'C2C'!E209</f>
        <v>0</v>
      </c>
      <c r="F41" s="408">
        <f>'C2C'!F209</f>
        <v>17085437.099999994</v>
      </c>
      <c r="G41" s="408">
        <f>'C2C'!G209</f>
        <v>34328818.129999988</v>
      </c>
      <c r="H41" s="408">
        <f>'C2C'!H209</f>
        <v>28511497.79145278</v>
      </c>
      <c r="I41" s="47">
        <f t="shared" si="10"/>
        <v>5817320.3385472074</v>
      </c>
      <c r="J41" s="200">
        <f t="shared" si="11"/>
        <v>0.20403418933294806</v>
      </c>
      <c r="K41" s="642">
        <f>'C2C'!K209</f>
        <v>171068986.74871668</v>
      </c>
      <c r="L41" s="100"/>
      <c r="Q41" s="70"/>
    </row>
    <row r="42" spans="1:17" ht="12.75" customHeight="1" x14ac:dyDescent="0.25">
      <c r="A42" s="416" t="s">
        <v>116</v>
      </c>
      <c r="B42" s="426"/>
      <c r="C42" s="642">
        <f>'C2C'!C214</f>
        <v>0</v>
      </c>
      <c r="D42" s="670">
        <f>'C2C'!D214</f>
        <v>24864824.959199883</v>
      </c>
      <c r="E42" s="408">
        <f>'C2C'!E214</f>
        <v>0</v>
      </c>
      <c r="F42" s="408">
        <f>'C2C'!F214</f>
        <v>1638630.63</v>
      </c>
      <c r="G42" s="408">
        <f>'C2C'!G214</f>
        <v>3236248.3</v>
      </c>
      <c r="H42" s="408">
        <f>'C2C'!H214</f>
        <v>4144137.4931999808</v>
      </c>
      <c r="I42" s="47">
        <f t="shared" si="10"/>
        <v>-907889.193199981</v>
      </c>
      <c r="J42" s="200">
        <f t="shared" si="11"/>
        <v>-0.21907796126207574</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0</v>
      </c>
      <c r="F43" s="637">
        <f t="shared" si="14"/>
        <v>433027170.21000016</v>
      </c>
      <c r="G43" s="637">
        <f t="shared" si="14"/>
        <v>469193548.84000003</v>
      </c>
      <c r="H43" s="637">
        <f t="shared" si="14"/>
        <v>558841091.11291504</v>
      </c>
      <c r="I43" s="47">
        <f t="shared" si="14"/>
        <v>-89647542.272914976</v>
      </c>
      <c r="J43" s="200">
        <f t="shared" si="11"/>
        <v>-0.16041687645835889</v>
      </c>
      <c r="K43" s="641">
        <f>SUM(K44:K47)</f>
        <v>3353046546.6774907</v>
      </c>
      <c r="L43" s="100"/>
      <c r="Q43" s="70"/>
    </row>
    <row r="44" spans="1:17" ht="12.75" customHeight="1" x14ac:dyDescent="0.25">
      <c r="A44" s="416" t="s">
        <v>1191</v>
      </c>
      <c r="B44" s="426"/>
      <c r="C44" s="642">
        <f>'C2C'!C222</f>
        <v>0</v>
      </c>
      <c r="D44" s="670">
        <f>'C2C'!D222</f>
        <v>2291332272.7237678</v>
      </c>
      <c r="E44" s="408">
        <f>'C2C'!E222</f>
        <v>0</v>
      </c>
      <c r="F44" s="408">
        <f>'C2C'!F222</f>
        <v>270318186.39000016</v>
      </c>
      <c r="G44" s="408">
        <f>'C2C'!G222</f>
        <v>282488831.07000005</v>
      </c>
      <c r="H44" s="408">
        <f>'C2C'!H222</f>
        <v>381888712.12062794</v>
      </c>
      <c r="I44" s="47">
        <f t="shared" si="10"/>
        <v>-99399881.050627887</v>
      </c>
      <c r="J44" s="200">
        <f t="shared" si="11"/>
        <v>-0.2602849413868778</v>
      </c>
      <c r="K44" s="642">
        <f>'C2C'!K222</f>
        <v>2291332272.7237678</v>
      </c>
      <c r="L44" s="100"/>
      <c r="Q44" s="70"/>
    </row>
    <row r="45" spans="1:17" ht="12.75" customHeight="1" x14ac:dyDescent="0.25">
      <c r="A45" s="416" t="s">
        <v>1195</v>
      </c>
      <c r="B45" s="426"/>
      <c r="C45" s="642">
        <f>'C2C'!C226</f>
        <v>0</v>
      </c>
      <c r="D45" s="670">
        <f>'C2C'!D226</f>
        <v>0</v>
      </c>
      <c r="E45" s="408">
        <f>'C2C'!E226</f>
        <v>0</v>
      </c>
      <c r="F45" s="408">
        <f>'C2C'!F226</f>
        <v>119507658.77</v>
      </c>
      <c r="G45" s="408">
        <f>'C2C'!G226</f>
        <v>133003270.61000003</v>
      </c>
      <c r="H45" s="408">
        <f>'C2C'!H226</f>
        <v>0</v>
      </c>
      <c r="I45" s="47">
        <f t="shared" si="10"/>
        <v>133003270.61000003</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0</v>
      </c>
      <c r="F46" s="672">
        <f>'C2C'!F230</f>
        <v>35136356.430000007</v>
      </c>
      <c r="G46" s="672">
        <f>'C2C'!G230</f>
        <v>38115192.210000001</v>
      </c>
      <c r="H46" s="672">
        <f>'C2C'!H230</f>
        <v>155321644.83768278</v>
      </c>
      <c r="I46" s="47">
        <f t="shared" si="10"/>
        <v>-117206452.62768278</v>
      </c>
      <c r="J46" s="200">
        <f t="shared" si="11"/>
        <v>-0.75460476065758975</v>
      </c>
      <c r="K46" s="673">
        <f>'C2C'!K230</f>
        <v>931929869.0260967</v>
      </c>
      <c r="L46" s="100"/>
      <c r="Q46" s="70"/>
    </row>
    <row r="47" spans="1:17" ht="12.75" customHeight="1" x14ac:dyDescent="0.25">
      <c r="A47" s="416" t="s">
        <v>119</v>
      </c>
      <c r="B47" s="426"/>
      <c r="C47" s="642">
        <f>'C2C'!C235</f>
        <v>0</v>
      </c>
      <c r="D47" s="670">
        <f>'C2C'!D235</f>
        <v>129784404.92762612</v>
      </c>
      <c r="E47" s="408">
        <f>'C2C'!E235</f>
        <v>0</v>
      </c>
      <c r="F47" s="408">
        <f>'C2C'!F235</f>
        <v>8064968.6199999992</v>
      </c>
      <c r="G47" s="408">
        <f>'C2C'!G235</f>
        <v>15586254.950000003</v>
      </c>
      <c r="H47" s="408">
        <f>'C2C'!H235</f>
        <v>21630734.154604353</v>
      </c>
      <c r="I47" s="47">
        <f t="shared" si="10"/>
        <v>-6044479.20460435</v>
      </c>
      <c r="J47" s="200">
        <f t="shared" si="11"/>
        <v>-0.27943939218159697</v>
      </c>
      <c r="K47" s="642">
        <f>'C2C'!K235</f>
        <v>129784404.92762612</v>
      </c>
      <c r="L47" s="100"/>
      <c r="Q47" s="70"/>
    </row>
    <row r="48" spans="1:17" ht="12.75" customHeight="1" x14ac:dyDescent="0.25">
      <c r="A48" s="414" t="s">
        <v>718</v>
      </c>
      <c r="B48" s="426"/>
      <c r="C48" s="641">
        <f>'C2C'!C240</f>
        <v>0</v>
      </c>
      <c r="D48" s="669">
        <f>'C2C'!D240</f>
        <v>81300979.882271051</v>
      </c>
      <c r="E48" s="637">
        <f>'C2C'!E240</f>
        <v>0</v>
      </c>
      <c r="F48" s="637">
        <f>'C2C'!F240</f>
        <v>4914564.4499999993</v>
      </c>
      <c r="G48" s="637">
        <f>'C2C'!G240</f>
        <v>8400109.5100000016</v>
      </c>
      <c r="H48" s="637">
        <f>'C2C'!H240</f>
        <v>13550163.313711844</v>
      </c>
      <c r="I48" s="102">
        <f t="shared" si="10"/>
        <v>-5150053.8037118427</v>
      </c>
      <c r="J48" s="713">
        <f t="shared" si="11"/>
        <v>-0.38007319059397154</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0</v>
      </c>
      <c r="F49" s="545">
        <f t="shared" si="15"/>
        <v>581114977.29999995</v>
      </c>
      <c r="G49" s="545">
        <f t="shared" si="15"/>
        <v>736047932.21999979</v>
      </c>
      <c r="H49" s="545">
        <f t="shared" si="15"/>
        <v>919475552.25743842</v>
      </c>
      <c r="I49" s="545">
        <f t="shared" si="15"/>
        <v>-183427620.03743851</v>
      </c>
      <c r="J49" s="599">
        <f t="shared" si="11"/>
        <v>-0.19949156841320967</v>
      </c>
      <c r="K49" s="720">
        <f>K29+K33+K39+K43+K48</f>
        <v>5516853313.5446301</v>
      </c>
      <c r="L49" s="100"/>
      <c r="Q49" s="75"/>
    </row>
    <row r="50" spans="1:17" ht="12.75" customHeight="1" x14ac:dyDescent="0.25">
      <c r="A50" s="94" t="s">
        <v>893</v>
      </c>
      <c r="B50" s="429"/>
      <c r="C50" s="540">
        <f t="shared" ref="C50:H50" si="16">C26-C49</f>
        <v>0</v>
      </c>
      <c r="D50" s="640">
        <f t="shared" si="16"/>
        <v>927224369.32743168</v>
      </c>
      <c r="E50" s="634">
        <f t="shared" si="16"/>
        <v>0</v>
      </c>
      <c r="F50" s="634">
        <f t="shared" si="16"/>
        <v>129949569.1099999</v>
      </c>
      <c r="G50" s="634">
        <f t="shared" si="16"/>
        <v>394169569.29999995</v>
      </c>
      <c r="H50" s="634">
        <f t="shared" si="16"/>
        <v>154537394.88790512</v>
      </c>
      <c r="I50" s="634">
        <f>I26-I49</f>
        <v>239632174.41209441</v>
      </c>
      <c r="J50" s="638">
        <f>IF(I50=0,"",I50/H50)</f>
        <v>1.5506419956536308</v>
      </c>
      <c r="K50" s="639">
        <f>K26-K49</f>
        <v>927224369.32743168</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5" t="s">
        <v>1212</v>
      </c>
      <c r="B55" s="1045"/>
      <c r="C55" s="1045"/>
      <c r="D55" s="1045"/>
      <c r="E55" s="1045"/>
      <c r="F55" s="1045"/>
      <c r="G55" s="1045"/>
      <c r="H55" s="1045"/>
      <c r="I55" s="1045"/>
      <c r="J55" s="1045"/>
      <c r="K55" s="104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85" activePane="bottomRight" state="frozen"/>
      <selection pane="topRight"/>
      <selection pane="bottomLeft"/>
      <selection pane="bottomRight" activeCell="N250" sqref="N250"/>
    </sheetView>
  </sheetViews>
  <sheetFormatPr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4" t="str">
        <f>muni&amp; " - "&amp;S71A&amp; " - "&amp;date</f>
        <v>KZN225 Msunduzi - Table C2 Consolidated Monthly Budget Statement - Financial Performance (functional classification)  - M02 August</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0</v>
      </c>
      <c r="F6" s="605">
        <f t="shared" si="0"/>
        <v>249061627.24000001</v>
      </c>
      <c r="G6" s="605">
        <f t="shared" si="0"/>
        <v>353674651.47000009</v>
      </c>
      <c r="H6" s="605">
        <f t="shared" si="0"/>
        <v>262056417.05291933</v>
      </c>
      <c r="I6" s="632">
        <f>G6-H6</f>
        <v>91618234.41708076</v>
      </c>
      <c r="J6" s="633">
        <f>IF(I6=0,"",I6/H6)</f>
        <v>0.34961263474261534</v>
      </c>
      <c r="K6" s="606">
        <f>K7+K10+K24</f>
        <v>1572338502.3175159</v>
      </c>
      <c r="L6" s="100"/>
    </row>
    <row r="7" spans="1:12" x14ac:dyDescent="0.25">
      <c r="A7" s="607" t="s">
        <v>108</v>
      </c>
      <c r="B7" s="415"/>
      <c r="C7" s="608">
        <f>SUM(C8:C9)</f>
        <v>0</v>
      </c>
      <c r="D7" s="608">
        <f t="shared" ref="D7:K7" si="1">SUM(D8:D9)</f>
        <v>4447530.0133999996</v>
      </c>
      <c r="E7" s="608">
        <f t="shared" si="1"/>
        <v>0</v>
      </c>
      <c r="F7" s="608">
        <f t="shared" si="1"/>
        <v>0</v>
      </c>
      <c r="G7" s="608">
        <f t="shared" si="1"/>
        <v>0</v>
      </c>
      <c r="H7" s="608">
        <f t="shared" si="1"/>
        <v>741255.0022333333</v>
      </c>
      <c r="I7" s="608">
        <f t="shared" ref="I7:I123" si="2">G7-H7</f>
        <v>-741255.0022333333</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c r="F9" s="733"/>
      <c r="G9" s="733"/>
      <c r="H9" s="733">
        <f>D9/12*2</f>
        <v>741255.0022333333</v>
      </c>
      <c r="I9" s="408">
        <f t="shared" si="2"/>
        <v>-741255.0022333333</v>
      </c>
      <c r="J9" s="408">
        <f t="shared" si="3"/>
        <v>-1</v>
      </c>
      <c r="K9" s="735">
        <f>D9</f>
        <v>4447530.0133999996</v>
      </c>
      <c r="L9" s="100"/>
    </row>
    <row r="10" spans="1:12" x14ac:dyDescent="0.25">
      <c r="A10" s="607" t="s">
        <v>1123</v>
      </c>
      <c r="B10" s="415"/>
      <c r="C10" s="608">
        <f t="shared" ref="C10:H10" si="4">SUM(C11:C23)</f>
        <v>0</v>
      </c>
      <c r="D10" s="608">
        <f t="shared" si="4"/>
        <v>1567890972.3041158</v>
      </c>
      <c r="E10" s="608">
        <f t="shared" si="4"/>
        <v>0</v>
      </c>
      <c r="F10" s="608">
        <f t="shared" si="4"/>
        <v>249061627.24000001</v>
      </c>
      <c r="G10" s="608">
        <f t="shared" si="4"/>
        <v>353674651.47000009</v>
      </c>
      <c r="H10" s="608">
        <f t="shared" si="4"/>
        <v>261315162.050686</v>
      </c>
      <c r="I10" s="608">
        <f t="shared" ref="I10:I15" si="5">G10-H10</f>
        <v>92359489.419314086</v>
      </c>
      <c r="J10" s="608">
        <f t="shared" ref="J10:J15" si="6">IF(I10=0,"",I10/H10)</f>
        <v>0.353440989395784</v>
      </c>
      <c r="K10" s="608">
        <f>SUM(K11:K23)</f>
        <v>1567890972.3041158</v>
      </c>
      <c r="L10" s="100"/>
    </row>
    <row r="11" spans="1:12" x14ac:dyDescent="0.25">
      <c r="A11" s="695" t="s">
        <v>1124</v>
      </c>
      <c r="B11" s="415"/>
      <c r="C11" s="733"/>
      <c r="D11" s="733"/>
      <c r="E11" s="733"/>
      <c r="F11" s="733"/>
      <c r="G11" s="733"/>
      <c r="H11" s="733">
        <f t="shared" ref="H11:H23" si="7">D11/12*2</f>
        <v>0</v>
      </c>
      <c r="I11" s="408">
        <f t="shared" si="5"/>
        <v>0</v>
      </c>
      <c r="J11" s="408" t="str">
        <f t="shared" si="6"/>
        <v/>
      </c>
      <c r="K11" s="735"/>
      <c r="L11" s="100"/>
    </row>
    <row r="12" spans="1:12" x14ac:dyDescent="0.25">
      <c r="A12" s="695" t="s">
        <v>1125</v>
      </c>
      <c r="B12" s="415"/>
      <c r="C12" s="733"/>
      <c r="D12" s="733"/>
      <c r="E12" s="733"/>
      <c r="F12" s="733"/>
      <c r="G12" s="733"/>
      <c r="H12" s="733">
        <f t="shared" si="7"/>
        <v>0</v>
      </c>
      <c r="I12" s="408">
        <f t="shared" si="5"/>
        <v>0</v>
      </c>
      <c r="J12" s="408" t="str">
        <f t="shared" si="6"/>
        <v/>
      </c>
      <c r="K12" s="735"/>
      <c r="L12" s="100"/>
    </row>
    <row r="13" spans="1:12" x14ac:dyDescent="0.25">
      <c r="A13" s="695" t="s">
        <v>1126</v>
      </c>
      <c r="B13" s="415"/>
      <c r="C13" s="733"/>
      <c r="D13" s="733">
        <v>1548651791.6176159</v>
      </c>
      <c r="E13" s="733"/>
      <c r="F13" s="733">
        <v>254282411.59</v>
      </c>
      <c r="G13" s="733">
        <v>357297023.18000007</v>
      </c>
      <c r="H13" s="733">
        <f t="shared" si="7"/>
        <v>258108631.93626931</v>
      </c>
      <c r="I13" s="408">
        <f t="shared" si="5"/>
        <v>99188391.243730754</v>
      </c>
      <c r="J13" s="408">
        <f t="shared" si="6"/>
        <v>0.38428932228900342</v>
      </c>
      <c r="K13" s="735">
        <f>D13</f>
        <v>1548651791.6176159</v>
      </c>
      <c r="L13" s="100"/>
    </row>
    <row r="14" spans="1:12" x14ac:dyDescent="0.25">
      <c r="A14" s="695" t="s">
        <v>1127</v>
      </c>
      <c r="B14" s="415"/>
      <c r="C14" s="733"/>
      <c r="D14" s="733"/>
      <c r="E14" s="733"/>
      <c r="F14" s="733"/>
      <c r="G14" s="733"/>
      <c r="H14" s="733">
        <f t="shared" si="7"/>
        <v>0</v>
      </c>
      <c r="I14" s="408">
        <f t="shared" si="5"/>
        <v>0</v>
      </c>
      <c r="J14" s="408" t="str">
        <f t="shared" si="6"/>
        <v/>
      </c>
      <c r="K14" s="735"/>
      <c r="L14" s="100"/>
    </row>
    <row r="15" spans="1:12" x14ac:dyDescent="0.25">
      <c r="A15" s="695" t="s">
        <v>161</v>
      </c>
      <c r="B15" s="415"/>
      <c r="C15" s="733"/>
      <c r="D15" s="733">
        <v>18980058.640900001</v>
      </c>
      <c r="E15" s="733"/>
      <c r="F15" s="733">
        <v>777559.13</v>
      </c>
      <c r="G15" s="733">
        <v>1173988.19</v>
      </c>
      <c r="H15" s="733">
        <f t="shared" si="7"/>
        <v>3163343.1068166667</v>
      </c>
      <c r="I15" s="408">
        <f t="shared" si="5"/>
        <v>-1989354.9168166667</v>
      </c>
      <c r="J15" s="408">
        <f t="shared" si="6"/>
        <v>-0.62887737739539518</v>
      </c>
      <c r="K15" s="735">
        <f>D15</f>
        <v>18980058.640900001</v>
      </c>
      <c r="L15" s="100"/>
    </row>
    <row r="16" spans="1:12" x14ac:dyDescent="0.25">
      <c r="A16" s="695" t="s">
        <v>162</v>
      </c>
      <c r="B16" s="415"/>
      <c r="C16" s="733"/>
      <c r="D16" s="733">
        <v>2016.0139999999999</v>
      </c>
      <c r="E16" s="733"/>
      <c r="F16" s="733"/>
      <c r="G16" s="733"/>
      <c r="H16" s="733">
        <f t="shared" si="7"/>
        <v>336.0023333333333</v>
      </c>
      <c r="I16" s="408">
        <f t="shared" ref="I16:I23" si="8">G16-H16</f>
        <v>-336.0023333333333</v>
      </c>
      <c r="J16" s="408">
        <f t="shared" ref="J16:J23" si="9">IF(I16=0,"",I16/H16)</f>
        <v>-1</v>
      </c>
      <c r="K16" s="735">
        <f>D16</f>
        <v>2016.0139999999999</v>
      </c>
      <c r="L16" s="100"/>
    </row>
    <row r="17" spans="1:12" x14ac:dyDescent="0.25">
      <c r="A17" s="695" t="s">
        <v>1128</v>
      </c>
      <c r="B17" s="415"/>
      <c r="C17" s="733"/>
      <c r="D17" s="733">
        <v>257106.03159999999</v>
      </c>
      <c r="E17" s="733"/>
      <c r="F17" s="733"/>
      <c r="G17" s="733"/>
      <c r="H17" s="733">
        <f t="shared" si="7"/>
        <v>42851.005266666667</v>
      </c>
      <c r="I17" s="408">
        <f t="shared" si="8"/>
        <v>-42851.005266666667</v>
      </c>
      <c r="J17" s="408">
        <f t="shared" si="9"/>
        <v>-1</v>
      </c>
      <c r="K17" s="735">
        <f>D17</f>
        <v>257106.03159999999</v>
      </c>
      <c r="L17" s="100"/>
    </row>
    <row r="18" spans="1:12" ht="22.5" x14ac:dyDescent="0.25">
      <c r="A18" s="695" t="s">
        <v>1129</v>
      </c>
      <c r="B18" s="415"/>
      <c r="C18" s="733"/>
      <c r="D18" s="733"/>
      <c r="E18" s="733"/>
      <c r="F18" s="733"/>
      <c r="G18" s="733"/>
      <c r="H18" s="733">
        <f t="shared" si="7"/>
        <v>0</v>
      </c>
      <c r="I18" s="408">
        <f t="shared" si="8"/>
        <v>0</v>
      </c>
      <c r="J18" s="408" t="str">
        <f t="shared" si="9"/>
        <v/>
      </c>
      <c r="K18" s="735"/>
      <c r="L18" s="100"/>
    </row>
    <row r="19" spans="1:12" x14ac:dyDescent="0.25">
      <c r="A19" s="695" t="s">
        <v>163</v>
      </c>
      <c r="B19" s="415"/>
      <c r="C19" s="733"/>
      <c r="D19" s="733"/>
      <c r="E19" s="733"/>
      <c r="F19" s="733">
        <v>-6000748.6599999983</v>
      </c>
      <c r="G19" s="733">
        <v>-4801754.0799999991</v>
      </c>
      <c r="H19" s="733">
        <f t="shared" si="7"/>
        <v>0</v>
      </c>
      <c r="I19" s="408">
        <f t="shared" si="8"/>
        <v>-4801754.0799999991</v>
      </c>
      <c r="J19" s="408" t="e">
        <f t="shared" si="9"/>
        <v>#DIV/0!</v>
      </c>
      <c r="K19" s="735"/>
      <c r="L19" s="100"/>
    </row>
    <row r="20" spans="1:12" x14ac:dyDescent="0.25">
      <c r="A20" s="695" t="s">
        <v>1130</v>
      </c>
      <c r="B20" s="415"/>
      <c r="C20" s="733"/>
      <c r="D20" s="733"/>
      <c r="E20" s="733"/>
      <c r="F20" s="733"/>
      <c r="G20" s="733"/>
      <c r="H20" s="733">
        <f t="shared" si="7"/>
        <v>0</v>
      </c>
      <c r="I20" s="408">
        <f t="shared" si="8"/>
        <v>0</v>
      </c>
      <c r="J20" s="408" t="str">
        <f t="shared" si="9"/>
        <v/>
      </c>
      <c r="K20" s="735"/>
      <c r="L20" s="100"/>
    </row>
    <row r="21" spans="1:12" x14ac:dyDescent="0.25">
      <c r="A21" s="695" t="s">
        <v>1131</v>
      </c>
      <c r="B21" s="415"/>
      <c r="C21" s="733"/>
      <c r="D21" s="733"/>
      <c r="E21" s="733"/>
      <c r="F21" s="733">
        <v>2405.1799999999998</v>
      </c>
      <c r="G21" s="733">
        <v>5394.18</v>
      </c>
      <c r="H21" s="733">
        <f t="shared" si="7"/>
        <v>0</v>
      </c>
      <c r="I21" s="408">
        <f t="shared" si="8"/>
        <v>5394.18</v>
      </c>
      <c r="J21" s="408" t="e">
        <f t="shared" si="9"/>
        <v>#DIV/0!</v>
      </c>
      <c r="K21" s="735"/>
      <c r="L21" s="100"/>
    </row>
    <row r="22" spans="1:12" x14ac:dyDescent="0.25">
      <c r="A22" s="695" t="s">
        <v>1132</v>
      </c>
      <c r="B22" s="415"/>
      <c r="C22" s="733"/>
      <c r="D22" s="733"/>
      <c r="E22" s="733"/>
      <c r="F22" s="733"/>
      <c r="G22" s="733"/>
      <c r="H22" s="733">
        <f t="shared" si="7"/>
        <v>0</v>
      </c>
      <c r="I22" s="408">
        <f t="shared" si="8"/>
        <v>0</v>
      </c>
      <c r="J22" s="408" t="str">
        <f t="shared" si="9"/>
        <v/>
      </c>
      <c r="K22" s="735"/>
      <c r="L22" s="100"/>
    </row>
    <row r="23" spans="1:12" x14ac:dyDescent="0.25">
      <c r="A23" s="695" t="s">
        <v>1133</v>
      </c>
      <c r="B23" s="415"/>
      <c r="C23" s="733"/>
      <c r="D23" s="733"/>
      <c r="E23" s="733"/>
      <c r="F23" s="733"/>
      <c r="G23" s="733"/>
      <c r="H23" s="733">
        <f t="shared" si="7"/>
        <v>0</v>
      </c>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0</v>
      </c>
      <c r="F26" s="605">
        <f t="shared" si="11"/>
        <v>10749223.369999873</v>
      </c>
      <c r="G26" s="605">
        <f t="shared" si="11"/>
        <v>12126385.929999571</v>
      </c>
      <c r="H26" s="605">
        <f t="shared" si="11"/>
        <v>61541842.412869297</v>
      </c>
      <c r="I26" s="605">
        <f t="shared" si="2"/>
        <v>-49415456.482869729</v>
      </c>
      <c r="J26" s="605">
        <f t="shared" si="3"/>
        <v>-0.80295705402112294</v>
      </c>
      <c r="K26" s="606">
        <f t="shared" si="11"/>
        <v>369251054.47721577</v>
      </c>
      <c r="L26" s="100"/>
    </row>
    <row r="27" spans="1:12" x14ac:dyDescent="0.25">
      <c r="A27" s="607" t="s">
        <v>110</v>
      </c>
      <c r="B27" s="415"/>
      <c r="C27" s="611">
        <f t="shared" ref="C27:H27" si="12">SUM(C28:C48)</f>
        <v>0</v>
      </c>
      <c r="D27" s="611">
        <f t="shared" si="12"/>
        <v>26242986.682700001</v>
      </c>
      <c r="E27" s="611">
        <f t="shared" si="12"/>
        <v>0</v>
      </c>
      <c r="F27" s="611">
        <f t="shared" si="12"/>
        <v>1956039.43</v>
      </c>
      <c r="G27" s="611">
        <f t="shared" si="12"/>
        <v>632953.31000000017</v>
      </c>
      <c r="H27" s="611">
        <f t="shared" si="12"/>
        <v>4373831.1137833335</v>
      </c>
      <c r="I27" s="611">
        <f t="shared" si="2"/>
        <v>-3740877.8037833334</v>
      </c>
      <c r="J27" s="611">
        <f t="shared" si="3"/>
        <v>-0.855286293975695</v>
      </c>
      <c r="K27" s="611">
        <f>SUM(K28:K48)</f>
        <v>26242986.682700001</v>
      </c>
      <c r="L27" s="100"/>
    </row>
    <row r="28" spans="1:12" x14ac:dyDescent="0.25">
      <c r="A28" s="695" t="s">
        <v>165</v>
      </c>
      <c r="B28" s="415"/>
      <c r="C28" s="733"/>
      <c r="D28" s="733"/>
      <c r="E28" s="733"/>
      <c r="F28" s="733"/>
      <c r="G28" s="733"/>
      <c r="H28" s="733">
        <f t="shared" ref="H28:H48" si="13">D28/12*2</f>
        <v>0</v>
      </c>
      <c r="I28" s="408">
        <f t="shared" ref="I28:I34" si="14">G28-H28</f>
        <v>0</v>
      </c>
      <c r="J28" s="408" t="str">
        <f t="shared" ref="J28:J34" si="15">IF(I28=0,"",I28/H28)</f>
        <v/>
      </c>
      <c r="K28" s="735"/>
      <c r="L28" s="100"/>
    </row>
    <row r="29" spans="1:12" x14ac:dyDescent="0.25">
      <c r="A29" s="695" t="s">
        <v>712</v>
      </c>
      <c r="B29" s="415"/>
      <c r="C29" s="733"/>
      <c r="D29" s="733"/>
      <c r="E29" s="733"/>
      <c r="F29" s="733"/>
      <c r="G29" s="733"/>
      <c r="H29" s="733">
        <f t="shared" si="13"/>
        <v>0</v>
      </c>
      <c r="I29" s="408">
        <f t="shared" si="14"/>
        <v>0</v>
      </c>
      <c r="J29" s="408" t="str">
        <f t="shared" si="15"/>
        <v/>
      </c>
      <c r="K29" s="735"/>
      <c r="L29" s="100"/>
    </row>
    <row r="30" spans="1:12" x14ac:dyDescent="0.25">
      <c r="A30" s="695" t="s">
        <v>1137</v>
      </c>
      <c r="B30" s="415"/>
      <c r="C30" s="733"/>
      <c r="D30" s="733"/>
      <c r="E30" s="733"/>
      <c r="F30" s="733"/>
      <c r="G30" s="733"/>
      <c r="H30" s="733">
        <f t="shared" si="13"/>
        <v>0</v>
      </c>
      <c r="I30" s="408">
        <f t="shared" si="14"/>
        <v>0</v>
      </c>
      <c r="J30" s="408" t="str">
        <f t="shared" si="15"/>
        <v/>
      </c>
      <c r="K30" s="735"/>
      <c r="L30" s="100"/>
    </row>
    <row r="31" spans="1:12" ht="22.5" x14ac:dyDescent="0.25">
      <c r="A31" s="695" t="s">
        <v>1138</v>
      </c>
      <c r="B31" s="415"/>
      <c r="C31" s="733"/>
      <c r="D31" s="733">
        <v>3523188.2817999995</v>
      </c>
      <c r="E31" s="733"/>
      <c r="F31" s="733">
        <v>284491.09000000003</v>
      </c>
      <c r="G31" s="733">
        <v>-879314.58999999985</v>
      </c>
      <c r="H31" s="733">
        <f t="shared" si="13"/>
        <v>587198.04696666659</v>
      </c>
      <c r="I31" s="408">
        <f t="shared" si="14"/>
        <v>-1466512.6369666664</v>
      </c>
      <c r="J31" s="408">
        <f t="shared" si="15"/>
        <v>-2.4974753314360321</v>
      </c>
      <c r="K31" s="735">
        <f>D31</f>
        <v>3523188.2817999995</v>
      </c>
      <c r="L31" s="100"/>
    </row>
    <row r="32" spans="1:12" x14ac:dyDescent="0.25">
      <c r="A32" s="695" t="s">
        <v>1139</v>
      </c>
      <c r="B32" s="415"/>
      <c r="C32" s="733"/>
      <c r="D32" s="733"/>
      <c r="E32" s="733"/>
      <c r="F32" s="733"/>
      <c r="G32" s="733"/>
      <c r="H32" s="733">
        <f t="shared" si="13"/>
        <v>0</v>
      </c>
      <c r="I32" s="408">
        <f t="shared" si="14"/>
        <v>0</v>
      </c>
      <c r="J32" s="408" t="str">
        <f t="shared" si="15"/>
        <v/>
      </c>
      <c r="K32" s="735"/>
      <c r="L32" s="100"/>
    </row>
    <row r="33" spans="1:12" x14ac:dyDescent="0.25">
      <c r="A33" s="695" t="s">
        <v>1140</v>
      </c>
      <c r="B33" s="415"/>
      <c r="C33" s="733"/>
      <c r="D33" s="733">
        <v>1045798.4008999999</v>
      </c>
      <c r="E33" s="733"/>
      <c r="F33" s="733">
        <v>1739.42</v>
      </c>
      <c r="G33" s="733">
        <v>1750.17</v>
      </c>
      <c r="H33" s="733">
        <f t="shared" si="13"/>
        <v>174299.73348333332</v>
      </c>
      <c r="I33" s="408">
        <f t="shared" si="14"/>
        <v>-172549.5634833333</v>
      </c>
      <c r="J33" s="408">
        <f t="shared" si="15"/>
        <v>-0.98995884867392892</v>
      </c>
      <c r="K33" s="735">
        <f>D33</f>
        <v>1045798.4008999999</v>
      </c>
      <c r="L33" s="100"/>
    </row>
    <row r="34" spans="1:12" x14ac:dyDescent="0.25">
      <c r="A34" s="695" t="s">
        <v>1141</v>
      </c>
      <c r="B34" s="415"/>
      <c r="C34" s="733"/>
      <c r="D34" s="733"/>
      <c r="E34" s="733"/>
      <c r="F34" s="733"/>
      <c r="G34" s="733"/>
      <c r="H34" s="733">
        <f t="shared" si="13"/>
        <v>0</v>
      </c>
      <c r="I34" s="408">
        <f t="shared" si="14"/>
        <v>0</v>
      </c>
      <c r="J34" s="408" t="str">
        <f t="shared" si="15"/>
        <v/>
      </c>
      <c r="K34" s="735"/>
      <c r="L34" s="100"/>
    </row>
    <row r="35" spans="1:12" x14ac:dyDescent="0.25">
      <c r="A35" s="695" t="s">
        <v>1142</v>
      </c>
      <c r="B35" s="415"/>
      <c r="C35" s="733"/>
      <c r="D35" s="733"/>
      <c r="E35" s="733"/>
      <c r="F35" s="733"/>
      <c r="G35" s="733"/>
      <c r="H35" s="733">
        <f t="shared" si="13"/>
        <v>0</v>
      </c>
      <c r="I35" s="408">
        <f t="shared" ref="I35:I40" si="16">G35-H35</f>
        <v>0</v>
      </c>
      <c r="J35" s="408" t="str">
        <f t="shared" ref="J35:J40" si="17">IF(I35=0,"",I35/H35)</f>
        <v/>
      </c>
      <c r="K35" s="735"/>
      <c r="L35" s="100"/>
    </row>
    <row r="36" spans="1:12" x14ac:dyDescent="0.25">
      <c r="A36" s="695" t="s">
        <v>1143</v>
      </c>
      <c r="B36" s="415"/>
      <c r="C36" s="733"/>
      <c r="D36" s="733"/>
      <c r="E36" s="733"/>
      <c r="F36" s="733"/>
      <c r="G36" s="733"/>
      <c r="H36" s="733">
        <f t="shared" si="13"/>
        <v>0</v>
      </c>
      <c r="I36" s="408">
        <f t="shared" si="16"/>
        <v>0</v>
      </c>
      <c r="J36" s="408" t="str">
        <f t="shared" si="17"/>
        <v/>
      </c>
      <c r="K36" s="735"/>
      <c r="L36" s="100"/>
    </row>
    <row r="37" spans="1:12" x14ac:dyDescent="0.25">
      <c r="A37" s="695" t="s">
        <v>1004</v>
      </c>
      <c r="B37" s="415"/>
      <c r="C37" s="733"/>
      <c r="D37" s="733"/>
      <c r="E37" s="733"/>
      <c r="F37" s="733"/>
      <c r="G37" s="733"/>
      <c r="H37" s="733">
        <f t="shared" si="13"/>
        <v>0</v>
      </c>
      <c r="I37" s="408">
        <f t="shared" si="16"/>
        <v>0</v>
      </c>
      <c r="J37" s="408" t="str">
        <f t="shared" si="17"/>
        <v/>
      </c>
      <c r="K37" s="735"/>
      <c r="L37" s="100"/>
    </row>
    <row r="38" spans="1:12" x14ac:dyDescent="0.25">
      <c r="A38" s="695" t="s">
        <v>1144</v>
      </c>
      <c r="B38" s="415"/>
      <c r="C38" s="733"/>
      <c r="D38" s="733"/>
      <c r="E38" s="733"/>
      <c r="F38" s="733"/>
      <c r="G38" s="733"/>
      <c r="H38" s="733">
        <f t="shared" si="13"/>
        <v>0</v>
      </c>
      <c r="I38" s="408">
        <f t="shared" si="16"/>
        <v>0</v>
      </c>
      <c r="J38" s="408" t="str">
        <f t="shared" si="17"/>
        <v/>
      </c>
      <c r="K38" s="735"/>
      <c r="L38" s="100"/>
    </row>
    <row r="39" spans="1:12" x14ac:dyDescent="0.25">
      <c r="A39" s="695" t="s">
        <v>1145</v>
      </c>
      <c r="B39" s="415"/>
      <c r="C39" s="733"/>
      <c r="D39" s="733"/>
      <c r="E39" s="733"/>
      <c r="F39" s="733"/>
      <c r="G39" s="733"/>
      <c r="H39" s="733">
        <f t="shared" si="13"/>
        <v>0</v>
      </c>
      <c r="I39" s="408">
        <f t="shared" si="16"/>
        <v>0</v>
      </c>
      <c r="J39" s="408" t="str">
        <f t="shared" si="17"/>
        <v/>
      </c>
      <c r="K39" s="735"/>
      <c r="L39" s="100"/>
    </row>
    <row r="40" spans="1:12" x14ac:dyDescent="0.25">
      <c r="A40" s="695" t="s">
        <v>1146</v>
      </c>
      <c r="B40" s="415"/>
      <c r="C40" s="733"/>
      <c r="D40" s="733"/>
      <c r="E40" s="733"/>
      <c r="F40" s="733"/>
      <c r="G40" s="733"/>
      <c r="H40" s="733">
        <f t="shared" si="13"/>
        <v>0</v>
      </c>
      <c r="I40" s="408">
        <f t="shared" si="16"/>
        <v>0</v>
      </c>
      <c r="J40" s="408" t="str">
        <f t="shared" si="17"/>
        <v/>
      </c>
      <c r="K40" s="735"/>
      <c r="L40" s="100"/>
    </row>
    <row r="41" spans="1:12" x14ac:dyDescent="0.25">
      <c r="A41" s="695" t="s">
        <v>164</v>
      </c>
      <c r="B41" s="415"/>
      <c r="C41" s="733"/>
      <c r="D41" s="733">
        <v>10974000</v>
      </c>
      <c r="E41" s="733"/>
      <c r="F41" s="733">
        <v>1649453.92</v>
      </c>
      <c r="G41" s="733">
        <v>1510517.73</v>
      </c>
      <c r="H41" s="733">
        <f t="shared" si="13"/>
        <v>1829000</v>
      </c>
      <c r="I41" s="408">
        <f t="shared" si="2"/>
        <v>-318482.27</v>
      </c>
      <c r="J41" s="408">
        <f t="shared" si="3"/>
        <v>-0.17412917987971571</v>
      </c>
      <c r="K41" s="735">
        <f>D41</f>
        <v>10974000</v>
      </c>
      <c r="L41" s="100"/>
    </row>
    <row r="42" spans="1:12" x14ac:dyDescent="0.25">
      <c r="A42" s="695" t="s">
        <v>1147</v>
      </c>
      <c r="B42" s="415"/>
      <c r="C42" s="733"/>
      <c r="D42" s="733"/>
      <c r="E42" s="733"/>
      <c r="F42" s="733"/>
      <c r="G42" s="733"/>
      <c r="H42" s="733">
        <f t="shared" si="13"/>
        <v>0</v>
      </c>
      <c r="I42" s="408">
        <f t="shared" si="2"/>
        <v>0</v>
      </c>
      <c r="J42" s="408" t="str">
        <f t="shared" si="3"/>
        <v/>
      </c>
      <c r="K42" s="735"/>
      <c r="L42" s="100"/>
    </row>
    <row r="43" spans="1:12" x14ac:dyDescent="0.25">
      <c r="A43" s="695" t="s">
        <v>1148</v>
      </c>
      <c r="B43" s="415"/>
      <c r="C43" s="733"/>
      <c r="D43" s="733"/>
      <c r="E43" s="733"/>
      <c r="F43" s="733"/>
      <c r="G43" s="733"/>
      <c r="H43" s="733">
        <f t="shared" si="13"/>
        <v>0</v>
      </c>
      <c r="I43" s="408">
        <f t="shared" si="2"/>
        <v>0</v>
      </c>
      <c r="J43" s="408" t="str">
        <f t="shared" si="3"/>
        <v/>
      </c>
      <c r="K43" s="735"/>
      <c r="L43" s="100"/>
    </row>
    <row r="44" spans="1:12" x14ac:dyDescent="0.25">
      <c r="A44" s="695" t="s">
        <v>1149</v>
      </c>
      <c r="B44" s="415"/>
      <c r="C44" s="733"/>
      <c r="D44" s="733">
        <v>10700000</v>
      </c>
      <c r="E44" s="733"/>
      <c r="F44" s="733">
        <v>20355</v>
      </c>
      <c r="G44" s="733">
        <v>0</v>
      </c>
      <c r="H44" s="733">
        <f t="shared" si="13"/>
        <v>1783333.3333333333</v>
      </c>
      <c r="I44" s="408">
        <f t="shared" si="2"/>
        <v>-1783333.3333333333</v>
      </c>
      <c r="J44" s="408">
        <f t="shared" si="3"/>
        <v>-1</v>
      </c>
      <c r="K44" s="735">
        <f>D44</f>
        <v>10700000</v>
      </c>
      <c r="L44" s="100"/>
    </row>
    <row r="45" spans="1:12" x14ac:dyDescent="0.25">
      <c r="A45" s="695" t="s">
        <v>1150</v>
      </c>
      <c r="B45" s="415"/>
      <c r="C45" s="733"/>
      <c r="D45" s="733"/>
      <c r="E45" s="733"/>
      <c r="F45" s="733"/>
      <c r="G45" s="733"/>
      <c r="H45" s="733">
        <f t="shared" si="13"/>
        <v>0</v>
      </c>
      <c r="I45" s="408">
        <f t="shared" si="2"/>
        <v>0</v>
      </c>
      <c r="J45" s="408" t="str">
        <f t="shared" si="3"/>
        <v/>
      </c>
      <c r="K45" s="735"/>
      <c r="L45" s="100"/>
    </row>
    <row r="46" spans="1:12" x14ac:dyDescent="0.25">
      <c r="A46" s="695" t="s">
        <v>1151</v>
      </c>
      <c r="B46" s="415"/>
      <c r="C46" s="733"/>
      <c r="D46" s="733"/>
      <c r="E46" s="733"/>
      <c r="F46" s="733"/>
      <c r="G46" s="733"/>
      <c r="H46" s="733">
        <f t="shared" si="13"/>
        <v>0</v>
      </c>
      <c r="I46" s="408">
        <f t="shared" si="2"/>
        <v>0</v>
      </c>
      <c r="J46" s="408" t="str">
        <f t="shared" si="3"/>
        <v/>
      </c>
      <c r="K46" s="735"/>
      <c r="L46" s="100"/>
    </row>
    <row r="47" spans="1:12" x14ac:dyDescent="0.25">
      <c r="A47" s="695" t="s">
        <v>1152</v>
      </c>
      <c r="B47" s="415"/>
      <c r="C47" s="733"/>
      <c r="D47" s="733"/>
      <c r="E47" s="733"/>
      <c r="F47" s="733"/>
      <c r="G47" s="733"/>
      <c r="H47" s="733">
        <f t="shared" si="13"/>
        <v>0</v>
      </c>
      <c r="I47" s="408">
        <f t="shared" si="2"/>
        <v>0</v>
      </c>
      <c r="J47" s="408" t="str">
        <f t="shared" si="3"/>
        <v/>
      </c>
      <c r="K47" s="735"/>
      <c r="L47" s="100"/>
    </row>
    <row r="48" spans="1:12" x14ac:dyDescent="0.25">
      <c r="A48" s="695" t="s">
        <v>1153</v>
      </c>
      <c r="B48" s="415"/>
      <c r="C48" s="733"/>
      <c r="D48" s="733"/>
      <c r="E48" s="733"/>
      <c r="F48" s="733"/>
      <c r="G48" s="733"/>
      <c r="H48" s="733">
        <f t="shared" si="13"/>
        <v>0</v>
      </c>
      <c r="I48" s="408">
        <f t="shared" si="2"/>
        <v>0</v>
      </c>
      <c r="J48" s="408" t="str">
        <f t="shared" si="3"/>
        <v/>
      </c>
      <c r="K48" s="735"/>
      <c r="L48" s="100"/>
    </row>
    <row r="49" spans="1:12" x14ac:dyDescent="0.25">
      <c r="A49" s="607" t="s">
        <v>111</v>
      </c>
      <c r="B49" s="415"/>
      <c r="C49" s="611">
        <f>SUM(C50:C54)</f>
        <v>0</v>
      </c>
      <c r="D49" s="611">
        <f t="shared" ref="D49:K49" si="18">SUM(D50:D54)</f>
        <v>11002054.78726843</v>
      </c>
      <c r="E49" s="611">
        <f t="shared" si="18"/>
        <v>0</v>
      </c>
      <c r="F49" s="611">
        <f t="shared" si="18"/>
        <v>997696.51</v>
      </c>
      <c r="G49" s="611">
        <f t="shared" si="18"/>
        <v>289650.40999999997</v>
      </c>
      <c r="H49" s="611">
        <f t="shared" si="18"/>
        <v>1833675.7978780717</v>
      </c>
      <c r="I49" s="611">
        <f t="shared" ref="I49:I54" si="19">G49-H49</f>
        <v>-1544025.3878780717</v>
      </c>
      <c r="J49" s="611">
        <f t="shared" ref="J49:J54" si="20">IF(I49=0,"",I49/H49)</f>
        <v>-0.8420383743215768</v>
      </c>
      <c r="K49" s="614">
        <f t="shared" si="18"/>
        <v>11002054.78726843</v>
      </c>
      <c r="L49" s="100"/>
    </row>
    <row r="50" spans="1:12" x14ac:dyDescent="0.25">
      <c r="A50" s="695" t="s">
        <v>1154</v>
      </c>
      <c r="B50" s="415"/>
      <c r="C50" s="733"/>
      <c r="D50" s="733"/>
      <c r="E50" s="733"/>
      <c r="F50" s="733"/>
      <c r="G50" s="733"/>
      <c r="H50" s="733">
        <f t="shared" ref="H50:H54" si="21">D50/12*2</f>
        <v>0</v>
      </c>
      <c r="I50" s="408">
        <f t="shared" si="19"/>
        <v>0</v>
      </c>
      <c r="J50" s="408" t="str">
        <f t="shared" si="20"/>
        <v/>
      </c>
      <c r="K50" s="735"/>
      <c r="L50" s="100"/>
    </row>
    <row r="51" spans="1:12" x14ac:dyDescent="0.25">
      <c r="A51" s="695" t="s">
        <v>1155</v>
      </c>
      <c r="B51" s="415"/>
      <c r="C51" s="733"/>
      <c r="D51" s="733"/>
      <c r="E51" s="733"/>
      <c r="F51" s="733"/>
      <c r="G51" s="733"/>
      <c r="H51" s="733">
        <f t="shared" si="21"/>
        <v>0</v>
      </c>
      <c r="I51" s="408">
        <f t="shared" si="19"/>
        <v>0</v>
      </c>
      <c r="J51" s="408" t="str">
        <f t="shared" si="20"/>
        <v/>
      </c>
      <c r="K51" s="735"/>
      <c r="L51" s="100"/>
    </row>
    <row r="52" spans="1:12" x14ac:dyDescent="0.25">
      <c r="A52" s="695" t="s">
        <v>1156</v>
      </c>
      <c r="B52" s="415"/>
      <c r="C52" s="733"/>
      <c r="D52" s="733"/>
      <c r="E52" s="733"/>
      <c r="F52" s="733"/>
      <c r="G52" s="733"/>
      <c r="H52" s="733">
        <f t="shared" si="21"/>
        <v>0</v>
      </c>
      <c r="I52" s="408">
        <f t="shared" si="19"/>
        <v>0</v>
      </c>
      <c r="J52" s="408" t="str">
        <f t="shared" si="20"/>
        <v/>
      </c>
      <c r="K52" s="735"/>
      <c r="L52" s="100"/>
    </row>
    <row r="53" spans="1:12" x14ac:dyDescent="0.25">
      <c r="A53" s="695" t="s">
        <v>1157</v>
      </c>
      <c r="B53" s="415"/>
      <c r="C53" s="733"/>
      <c r="D53" s="733">
        <v>11002054.78726843</v>
      </c>
      <c r="E53" s="733"/>
      <c r="F53" s="733">
        <v>997696.51</v>
      </c>
      <c r="G53" s="733">
        <v>289650.40999999997</v>
      </c>
      <c r="H53" s="733">
        <f t="shared" si="21"/>
        <v>1833675.7978780717</v>
      </c>
      <c r="I53" s="408">
        <f t="shared" si="19"/>
        <v>-1544025.3878780717</v>
      </c>
      <c r="J53" s="408">
        <f t="shared" si="20"/>
        <v>-0.8420383743215768</v>
      </c>
      <c r="K53" s="735">
        <f>D53</f>
        <v>11002054.78726843</v>
      </c>
      <c r="L53" s="100"/>
    </row>
    <row r="54" spans="1:12" x14ac:dyDescent="0.25">
      <c r="A54" s="695" t="s">
        <v>1158</v>
      </c>
      <c r="B54" s="415"/>
      <c r="C54" s="733"/>
      <c r="D54" s="733"/>
      <c r="E54" s="733"/>
      <c r="F54" s="733"/>
      <c r="G54" s="733"/>
      <c r="H54" s="733">
        <f t="shared" si="21"/>
        <v>0</v>
      </c>
      <c r="I54" s="408">
        <f t="shared" si="19"/>
        <v>0</v>
      </c>
      <c r="J54" s="408" t="str">
        <f t="shared" si="20"/>
        <v/>
      </c>
      <c r="K54" s="735"/>
      <c r="L54" s="100"/>
    </row>
    <row r="55" spans="1:12" x14ac:dyDescent="0.25">
      <c r="A55" s="607" t="s">
        <v>112</v>
      </c>
      <c r="B55" s="415"/>
      <c r="C55" s="611">
        <f>SUM(C56:C63)</f>
        <v>0</v>
      </c>
      <c r="D55" s="611">
        <f t="shared" ref="D55:K55" si="22">SUM(D56:D63)</f>
        <v>3768735.4638999999</v>
      </c>
      <c r="E55" s="611">
        <f t="shared" si="22"/>
        <v>0</v>
      </c>
      <c r="F55" s="611">
        <f t="shared" si="22"/>
        <v>205329.32999987603</v>
      </c>
      <c r="G55" s="611">
        <f t="shared" si="22"/>
        <v>273829.5299995708</v>
      </c>
      <c r="H55" s="611">
        <f t="shared" si="22"/>
        <v>628122.57731666672</v>
      </c>
      <c r="I55" s="611">
        <f t="shared" si="2"/>
        <v>-354293.04731709592</v>
      </c>
      <c r="J55" s="611">
        <f t="shared" si="3"/>
        <v>-0.56405080809327413</v>
      </c>
      <c r="K55" s="614">
        <f t="shared" si="22"/>
        <v>3768735.4638999999</v>
      </c>
      <c r="L55" s="100"/>
    </row>
    <row r="56" spans="1:12" x14ac:dyDescent="0.25">
      <c r="A56" s="695" t="s">
        <v>167</v>
      </c>
      <c r="B56" s="415"/>
      <c r="C56" s="733"/>
      <c r="D56" s="733"/>
      <c r="E56" s="733"/>
      <c r="F56" s="733"/>
      <c r="G56" s="733"/>
      <c r="H56" s="733">
        <f t="shared" ref="H56:H63" si="23">D56/12*2</f>
        <v>0</v>
      </c>
      <c r="I56" s="408">
        <f t="shared" si="2"/>
        <v>0</v>
      </c>
      <c r="J56" s="408" t="str">
        <f t="shared" si="3"/>
        <v/>
      </c>
      <c r="K56" s="735"/>
      <c r="L56" s="100"/>
    </row>
    <row r="57" spans="1:12" x14ac:dyDescent="0.25">
      <c r="A57" s="695" t="s">
        <v>1159</v>
      </c>
      <c r="B57" s="415"/>
      <c r="C57" s="733"/>
      <c r="D57" s="733"/>
      <c r="E57" s="733"/>
      <c r="F57" s="733"/>
      <c r="G57" s="733"/>
      <c r="H57" s="733">
        <f t="shared" si="23"/>
        <v>0</v>
      </c>
      <c r="I57" s="408">
        <f t="shared" si="2"/>
        <v>0</v>
      </c>
      <c r="J57" s="408" t="str">
        <f t="shared" si="3"/>
        <v/>
      </c>
      <c r="K57" s="735"/>
      <c r="L57" s="100"/>
    </row>
    <row r="58" spans="1:12" x14ac:dyDescent="0.25">
      <c r="A58" s="695" t="s">
        <v>1160</v>
      </c>
      <c r="B58" s="415"/>
      <c r="C58" s="733"/>
      <c r="D58" s="733"/>
      <c r="E58" s="733"/>
      <c r="F58" s="733"/>
      <c r="G58" s="733"/>
      <c r="H58" s="733">
        <f t="shared" si="23"/>
        <v>0</v>
      </c>
      <c r="I58" s="408">
        <f>G58-H58</f>
        <v>0</v>
      </c>
      <c r="J58" s="408" t="str">
        <f>IF(I58=0,"",I58/H58)</f>
        <v/>
      </c>
      <c r="K58" s="735"/>
      <c r="L58" s="100"/>
    </row>
    <row r="59" spans="1:12" x14ac:dyDescent="0.25">
      <c r="A59" s="695" t="s">
        <v>1161</v>
      </c>
      <c r="B59" s="415"/>
      <c r="C59" s="733"/>
      <c r="D59" s="733"/>
      <c r="E59" s="733"/>
      <c r="F59" s="733"/>
      <c r="G59" s="733"/>
      <c r="H59" s="733">
        <f t="shared" si="23"/>
        <v>0</v>
      </c>
      <c r="I59" s="408">
        <f t="shared" si="2"/>
        <v>0</v>
      </c>
      <c r="J59" s="408" t="str">
        <f t="shared" si="3"/>
        <v/>
      </c>
      <c r="K59" s="735"/>
      <c r="L59" s="100"/>
    </row>
    <row r="60" spans="1:12" x14ac:dyDescent="0.25">
      <c r="A60" s="695" t="s">
        <v>1162</v>
      </c>
      <c r="B60" s="415"/>
      <c r="C60" s="733"/>
      <c r="D60" s="733">
        <v>334269.52130000002</v>
      </c>
      <c r="E60" s="733"/>
      <c r="F60" s="733">
        <v>59935.819999876017</v>
      </c>
      <c r="G60" s="733">
        <v>85214.62999957084</v>
      </c>
      <c r="H60" s="733">
        <f t="shared" si="23"/>
        <v>55711.586883333337</v>
      </c>
      <c r="I60" s="408">
        <f t="shared" si="2"/>
        <v>29503.043116237503</v>
      </c>
      <c r="J60" s="408">
        <f t="shared" si="3"/>
        <v>0.52956745206379363</v>
      </c>
      <c r="K60" s="735">
        <f>D60</f>
        <v>334269.52130000002</v>
      </c>
      <c r="L60" s="100"/>
    </row>
    <row r="61" spans="1:12" x14ac:dyDescent="0.25">
      <c r="A61" s="695" t="s">
        <v>1163</v>
      </c>
      <c r="B61" s="415"/>
      <c r="C61" s="733"/>
      <c r="D61" s="733">
        <v>0</v>
      </c>
      <c r="E61" s="733"/>
      <c r="F61" s="733"/>
      <c r="G61" s="733"/>
      <c r="H61" s="733">
        <f t="shared" si="23"/>
        <v>0</v>
      </c>
      <c r="I61" s="408">
        <f>G61-H61</f>
        <v>0</v>
      </c>
      <c r="J61" s="408" t="str">
        <f>IF(I61=0,"",I61/H61)</f>
        <v/>
      </c>
      <c r="K61" s="735"/>
      <c r="L61" s="100"/>
    </row>
    <row r="62" spans="1:12" ht="22.5" x14ac:dyDescent="0.25">
      <c r="A62" s="695" t="s">
        <v>1181</v>
      </c>
      <c r="B62" s="415"/>
      <c r="C62" s="733"/>
      <c r="D62" s="733">
        <v>3434465.9425999997</v>
      </c>
      <c r="E62" s="733"/>
      <c r="F62" s="733">
        <v>145393.51</v>
      </c>
      <c r="G62" s="733">
        <v>188614.9</v>
      </c>
      <c r="H62" s="733">
        <f t="shared" si="23"/>
        <v>572410.99043333333</v>
      </c>
      <c r="I62" s="408">
        <f>G62-H62</f>
        <v>-383796.0904333333</v>
      </c>
      <c r="J62" s="408">
        <f>IF(I62=0,"",I62/H62)</f>
        <v>-0.67049042881372256</v>
      </c>
      <c r="K62" s="735">
        <f>D62</f>
        <v>3434465.9425999997</v>
      </c>
      <c r="L62" s="100"/>
    </row>
    <row r="63" spans="1:12" x14ac:dyDescent="0.25">
      <c r="A63" s="695" t="s">
        <v>1182</v>
      </c>
      <c r="B63" s="415"/>
      <c r="C63" s="733"/>
      <c r="D63" s="733"/>
      <c r="E63" s="733"/>
      <c r="F63" s="733"/>
      <c r="G63" s="733"/>
      <c r="H63" s="733">
        <f t="shared" si="23"/>
        <v>0</v>
      </c>
      <c r="I63" s="408">
        <f t="shared" si="2"/>
        <v>0</v>
      </c>
      <c r="J63" s="408" t="str">
        <f t="shared" si="3"/>
        <v/>
      </c>
      <c r="K63" s="735"/>
      <c r="L63" s="100"/>
    </row>
    <row r="64" spans="1:12" x14ac:dyDescent="0.25">
      <c r="A64" s="607" t="s">
        <v>711</v>
      </c>
      <c r="B64" s="415"/>
      <c r="C64" s="611">
        <f t="shared" ref="C64:H64" si="24">SUM(C65:C66)</f>
        <v>0</v>
      </c>
      <c r="D64" s="611">
        <f t="shared" si="24"/>
        <v>328237277.54334736</v>
      </c>
      <c r="E64" s="611">
        <f t="shared" si="24"/>
        <v>0</v>
      </c>
      <c r="F64" s="611">
        <f t="shared" si="24"/>
        <v>7590158.0999999968</v>
      </c>
      <c r="G64" s="611">
        <f t="shared" si="24"/>
        <v>10929952.68</v>
      </c>
      <c r="H64" s="611">
        <f t="shared" si="24"/>
        <v>54706212.923891224</v>
      </c>
      <c r="I64" s="611">
        <f>G64-H64</f>
        <v>-43776260.243891224</v>
      </c>
      <c r="J64" s="611">
        <f>IF(I64=0,"",I64/H64)</f>
        <v>-0.80020637335642208</v>
      </c>
      <c r="K64" s="614">
        <f>SUM(K65:K66)</f>
        <v>328237277.54334736</v>
      </c>
      <c r="L64" s="100"/>
    </row>
    <row r="65" spans="1:12" x14ac:dyDescent="0.25">
      <c r="A65" s="695" t="s">
        <v>711</v>
      </c>
      <c r="B65" s="415"/>
      <c r="C65" s="733"/>
      <c r="D65" s="733">
        <v>328237277.54334736</v>
      </c>
      <c r="E65" s="733"/>
      <c r="F65" s="733">
        <v>7590158.0999999968</v>
      </c>
      <c r="G65" s="733">
        <v>10929952.68</v>
      </c>
      <c r="H65" s="733">
        <f>D65/12*2</f>
        <v>54706212.923891224</v>
      </c>
      <c r="I65" s="408">
        <f>G65-H65</f>
        <v>-43776260.243891224</v>
      </c>
      <c r="J65" s="408">
        <f>IF(I65=0,"",I65/H65)</f>
        <v>-0.80020637335642208</v>
      </c>
      <c r="K65" s="735">
        <f>D65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5">SUM(C68:C74)</f>
        <v>0</v>
      </c>
      <c r="D67" s="611">
        <f t="shared" si="25"/>
        <v>0</v>
      </c>
      <c r="E67" s="611">
        <f t="shared" si="25"/>
        <v>0</v>
      </c>
      <c r="F67" s="611">
        <f t="shared" si="25"/>
        <v>0</v>
      </c>
      <c r="G67" s="611">
        <f t="shared" si="25"/>
        <v>0</v>
      </c>
      <c r="H67" s="611">
        <f t="shared" si="25"/>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6">C76+C87+C92</f>
        <v>0</v>
      </c>
      <c r="D75" s="605">
        <f t="shared" si="26"/>
        <v>106923434.37381519</v>
      </c>
      <c r="E75" s="605">
        <f t="shared" si="26"/>
        <v>0</v>
      </c>
      <c r="F75" s="605">
        <f t="shared" si="26"/>
        <v>10122774.770000001</v>
      </c>
      <c r="G75" s="605">
        <f t="shared" si="26"/>
        <v>9645847.8399999999</v>
      </c>
      <c r="H75" s="605">
        <f t="shared" si="26"/>
        <v>17820572.395635866</v>
      </c>
      <c r="I75" s="605">
        <f t="shared" si="2"/>
        <v>-8174724.5556358658</v>
      </c>
      <c r="J75" s="605">
        <f t="shared" si="3"/>
        <v>-0.45872401706006927</v>
      </c>
      <c r="K75" s="606">
        <f>K76+K87+K92</f>
        <v>106923434.37381519</v>
      </c>
      <c r="L75" s="100"/>
    </row>
    <row r="76" spans="1:12" x14ac:dyDescent="0.25">
      <c r="A76" s="607" t="s">
        <v>114</v>
      </c>
      <c r="B76" s="417"/>
      <c r="C76" s="611">
        <f t="shared" ref="C76:H76" si="27">SUM(C77:C86)</f>
        <v>0</v>
      </c>
      <c r="D76" s="611">
        <f t="shared" si="27"/>
        <v>41022287.158399999</v>
      </c>
      <c r="E76" s="611">
        <f t="shared" si="27"/>
        <v>0</v>
      </c>
      <c r="F76" s="611">
        <f t="shared" si="27"/>
        <v>187151.66999999998</v>
      </c>
      <c r="G76" s="611">
        <f t="shared" si="27"/>
        <v>-812370.05999999994</v>
      </c>
      <c r="H76" s="611">
        <f t="shared" si="27"/>
        <v>6837047.8597333329</v>
      </c>
      <c r="I76" s="611">
        <f t="shared" si="2"/>
        <v>-7649417.9197333325</v>
      </c>
      <c r="J76" s="611">
        <f t="shared" si="3"/>
        <v>-1.1188188347758157</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c r="F83" s="733">
        <v>187151.66999999998</v>
      </c>
      <c r="G83" s="733">
        <v>-812370.05999999994</v>
      </c>
      <c r="H83" s="733">
        <f>D83/12*2</f>
        <v>6837047.8597333329</v>
      </c>
      <c r="I83" s="408">
        <f>G83-H83</f>
        <v>-7649417.9197333325</v>
      </c>
      <c r="J83" s="408">
        <f>IF(I83=0,"",I83/H83)</f>
        <v>-1.1188188347758157</v>
      </c>
      <c r="K83" s="735">
        <f>D83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8">SUM(C88:C91)</f>
        <v>0</v>
      </c>
      <c r="D87" s="611">
        <f t="shared" si="28"/>
        <v>65792799.755315199</v>
      </c>
      <c r="E87" s="611">
        <f t="shared" si="28"/>
        <v>0</v>
      </c>
      <c r="F87" s="611">
        <f t="shared" si="28"/>
        <v>9935623.1000000015</v>
      </c>
      <c r="G87" s="611">
        <f t="shared" si="28"/>
        <v>10449717.9</v>
      </c>
      <c r="H87" s="611">
        <f t="shared" si="28"/>
        <v>10965466.625885867</v>
      </c>
      <c r="I87" s="611">
        <f t="shared" si="2"/>
        <v>-515748.72588586621</v>
      </c>
      <c r="J87" s="611">
        <f t="shared" si="3"/>
        <v>-4.7033905941435521E-2</v>
      </c>
      <c r="K87" s="614">
        <f>SUM(K88:K91)</f>
        <v>65792799.755315199</v>
      </c>
      <c r="L87" s="100"/>
    </row>
    <row r="88" spans="1:12" x14ac:dyDescent="0.25">
      <c r="A88" s="695" t="s">
        <v>1183</v>
      </c>
      <c r="B88" s="417"/>
      <c r="C88" s="733"/>
      <c r="D88" s="733">
        <v>65792799.755315199</v>
      </c>
      <c r="E88" s="733"/>
      <c r="F88" s="733">
        <v>447885.21</v>
      </c>
      <c r="G88" s="733">
        <v>707209.93</v>
      </c>
      <c r="H88" s="733">
        <f>D88/12*2</f>
        <v>10965466.625885867</v>
      </c>
      <c r="I88" s="408">
        <f t="shared" si="2"/>
        <v>-10258256.695885867</v>
      </c>
      <c r="J88" s="408">
        <f t="shared" si="3"/>
        <v>-0.9355057149751832</v>
      </c>
      <c r="K88" s="735">
        <f>D88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9487737.8900000006</v>
      </c>
      <c r="G90" s="733">
        <v>9742507.9700000007</v>
      </c>
      <c r="H90" s="733"/>
      <c r="I90" s="408">
        <f t="shared" si="2"/>
        <v>9742507.9700000007</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9">SUM(D93:D98)</f>
        <v>108347.4601</v>
      </c>
      <c r="E92" s="611">
        <f t="shared" si="29"/>
        <v>0</v>
      </c>
      <c r="F92" s="611">
        <f t="shared" si="29"/>
        <v>0</v>
      </c>
      <c r="G92" s="611">
        <f t="shared" si="29"/>
        <v>8500</v>
      </c>
      <c r="H92" s="611">
        <f t="shared" si="29"/>
        <v>18057.910016666665</v>
      </c>
      <c r="I92" s="611">
        <f t="shared" si="2"/>
        <v>-9557.9100166666649</v>
      </c>
      <c r="J92" s="611">
        <f t="shared" si="3"/>
        <v>-0.52929214996891283</v>
      </c>
      <c r="K92" s="614">
        <f t="shared" si="29"/>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c r="F97" s="733"/>
      <c r="G97" s="733">
        <v>8500</v>
      </c>
      <c r="H97" s="733">
        <f>D97/12*2</f>
        <v>18057.910016666665</v>
      </c>
      <c r="I97" s="408">
        <f t="shared" si="2"/>
        <v>-9557.9100166666649</v>
      </c>
      <c r="J97" s="408">
        <f t="shared" si="3"/>
        <v>-0.52929214996891283</v>
      </c>
      <c r="K97" s="735">
        <f>D97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30">D100+D104+D108+D113</f>
        <v>4331953791.0175152</v>
      </c>
      <c r="E99" s="605">
        <f t="shared" si="30"/>
        <v>0</v>
      </c>
      <c r="F99" s="605">
        <f t="shared" si="30"/>
        <v>439405855.5</v>
      </c>
      <c r="G99" s="605">
        <f t="shared" si="30"/>
        <v>752233579.58000004</v>
      </c>
      <c r="H99" s="605">
        <f t="shared" si="30"/>
        <v>721992298.5029192</v>
      </c>
      <c r="I99" s="605">
        <f t="shared" si="30"/>
        <v>30241281.077080756</v>
      </c>
      <c r="J99" s="605">
        <f t="shared" si="3"/>
        <v>4.1885877646876984E-2</v>
      </c>
      <c r="K99" s="606">
        <f>K100+K104+K108+K113</f>
        <v>4331953791.0175152</v>
      </c>
      <c r="L99" s="100"/>
    </row>
    <row r="100" spans="1:12" x14ac:dyDescent="0.25">
      <c r="A100" s="607" t="s">
        <v>1191</v>
      </c>
      <c r="B100" s="417"/>
      <c r="C100" s="611">
        <f>SUM(C101:C103)</f>
        <v>0</v>
      </c>
      <c r="D100" s="611">
        <f t="shared" ref="D100:K100" si="31">SUM(D101:D103)</f>
        <v>2655002808.9206858</v>
      </c>
      <c r="E100" s="611">
        <f t="shared" si="31"/>
        <v>0</v>
      </c>
      <c r="F100" s="611">
        <f t="shared" si="31"/>
        <v>223150755.06999996</v>
      </c>
      <c r="G100" s="611">
        <f t="shared" si="31"/>
        <v>439331988.78999996</v>
      </c>
      <c r="H100" s="611">
        <f t="shared" si="31"/>
        <v>442500468.15344763</v>
      </c>
      <c r="I100" s="611">
        <f t="shared" si="2"/>
        <v>-3168479.3634476662</v>
      </c>
      <c r="J100" s="611">
        <f t="shared" si="3"/>
        <v>-7.1603977656107699E-3</v>
      </c>
      <c r="K100" s="614">
        <f t="shared" si="31"/>
        <v>2655002808.9206858</v>
      </c>
      <c r="L100" s="100"/>
    </row>
    <row r="101" spans="1:12" x14ac:dyDescent="0.25">
      <c r="A101" s="695" t="s">
        <v>1192</v>
      </c>
      <c r="B101" s="417"/>
      <c r="C101" s="733"/>
      <c r="D101" s="733">
        <v>2635365105.6563859</v>
      </c>
      <c r="E101" s="733"/>
      <c r="F101" s="733">
        <v>223150755.06999996</v>
      </c>
      <c r="G101" s="733">
        <v>439331988.78999996</v>
      </c>
      <c r="H101" s="733">
        <f t="shared" ref="H101:H102" si="32">D101/12*2</f>
        <v>439227517.60939765</v>
      </c>
      <c r="I101" s="408">
        <f t="shared" si="2"/>
        <v>104471.18060231209</v>
      </c>
      <c r="J101" s="408">
        <f t="shared" si="3"/>
        <v>2.3785208442977763E-4</v>
      </c>
      <c r="K101" s="735">
        <f>D101</f>
        <v>2635365105.6563859</v>
      </c>
      <c r="L101" s="100"/>
    </row>
    <row r="102" spans="1:12" x14ac:dyDescent="0.25">
      <c r="A102" s="695" t="s">
        <v>1193</v>
      </c>
      <c r="B102" s="417"/>
      <c r="C102" s="733"/>
      <c r="D102" s="733">
        <v>19637703.2643</v>
      </c>
      <c r="E102" s="733"/>
      <c r="F102" s="733"/>
      <c r="G102" s="733"/>
      <c r="H102" s="733">
        <f t="shared" si="32"/>
        <v>3272950.5440500001</v>
      </c>
      <c r="I102" s="408">
        <f>G102-H102</f>
        <v>-3272950.5440500001</v>
      </c>
      <c r="J102" s="408">
        <f>IF(I102=0,"",I102/H102)</f>
        <v>-1</v>
      </c>
      <c r="K102" s="735">
        <f>D102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3">SUM(D105:D107)</f>
        <v>1253549994.0011687</v>
      </c>
      <c r="E104" s="611">
        <f t="shared" si="33"/>
        <v>0</v>
      </c>
      <c r="F104" s="611">
        <f t="shared" si="33"/>
        <v>160132399.06</v>
      </c>
      <c r="G104" s="611">
        <f t="shared" si="33"/>
        <v>233974354.88999999</v>
      </c>
      <c r="H104" s="611">
        <f t="shared" si="33"/>
        <v>208924999.00019479</v>
      </c>
      <c r="I104" s="611">
        <f t="shared" si="2"/>
        <v>25049355.889805198</v>
      </c>
      <c r="J104" s="611">
        <f t="shared" si="3"/>
        <v>0.11989640306176018</v>
      </c>
      <c r="K104" s="614">
        <f t="shared" si="33"/>
        <v>1253549994.0011687</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c r="F106" s="733">
        <v>160132399.06</v>
      </c>
      <c r="G106" s="733">
        <v>233974354.88999999</v>
      </c>
      <c r="H106" s="733">
        <f>D106/12*2</f>
        <v>208924999.00019479</v>
      </c>
      <c r="I106" s="408">
        <f>G106-H106</f>
        <v>25049355.889805198</v>
      </c>
      <c r="J106" s="408">
        <f>IF(I106=0,"",I106/H106)</f>
        <v>0.11989640306176018</v>
      </c>
      <c r="K106" s="735">
        <f>D106</f>
        <v>1253549994.0011687</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4">SUM(D109:D112)</f>
        <v>173542219.90182328</v>
      </c>
      <c r="E108" s="611">
        <f t="shared" si="34"/>
        <v>0</v>
      </c>
      <c r="F108" s="611">
        <f t="shared" si="34"/>
        <v>36018627.579999998</v>
      </c>
      <c r="G108" s="611">
        <f t="shared" si="34"/>
        <v>49294471.709999993</v>
      </c>
      <c r="H108" s="611">
        <f t="shared" si="34"/>
        <v>28923703.316970546</v>
      </c>
      <c r="I108" s="611">
        <f t="shared" si="2"/>
        <v>20370768.393029448</v>
      </c>
      <c r="J108" s="611">
        <f t="shared" si="3"/>
        <v>0.70429322862944754</v>
      </c>
      <c r="K108" s="614">
        <f t="shared" si="34"/>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c r="F110" s="733">
        <v>36018627.579999998</v>
      </c>
      <c r="G110" s="733">
        <v>49294471.709999993</v>
      </c>
      <c r="H110" s="733">
        <f>D110/12*2</f>
        <v>28923703.316970546</v>
      </c>
      <c r="I110" s="408">
        <f t="shared" si="2"/>
        <v>20370768.393029448</v>
      </c>
      <c r="J110" s="408">
        <f t="shared" si="3"/>
        <v>0.70429322862944754</v>
      </c>
      <c r="K110" s="735">
        <f>D110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5">SUM(C114:C117)</f>
        <v>0</v>
      </c>
      <c r="D113" s="611">
        <f t="shared" si="35"/>
        <v>249858768.1938374</v>
      </c>
      <c r="E113" s="611">
        <f t="shared" si="35"/>
        <v>0</v>
      </c>
      <c r="F113" s="611">
        <f t="shared" si="35"/>
        <v>20104073.789999999</v>
      </c>
      <c r="G113" s="611">
        <f t="shared" si="35"/>
        <v>29632764.190000005</v>
      </c>
      <c r="H113" s="611">
        <f t="shared" si="35"/>
        <v>41643128.032306232</v>
      </c>
      <c r="I113" s="611">
        <f t="shared" si="2"/>
        <v>-12010363.842306226</v>
      </c>
      <c r="J113" s="611">
        <f t="shared" si="3"/>
        <v>-0.28841166381614591</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c r="F115" s="733">
        <v>11098435.33</v>
      </c>
      <c r="G115" s="733">
        <v>11190381.6</v>
      </c>
      <c r="H115" s="733">
        <f>D115/12*2</f>
        <v>41643128.032306232</v>
      </c>
      <c r="I115" s="408">
        <f>G115-H115</f>
        <v>-30452746.43230623</v>
      </c>
      <c r="J115" s="408">
        <f>IF(I115=0,"",I115/H115)</f>
        <v>-0.73127903381036508</v>
      </c>
      <c r="K115" s="735">
        <f>D115</f>
        <v>249858768.1938374</v>
      </c>
      <c r="L115" s="100"/>
    </row>
    <row r="116" spans="1:12" x14ac:dyDescent="0.25">
      <c r="A116" s="695" t="s">
        <v>1200</v>
      </c>
      <c r="B116" s="417"/>
      <c r="C116" s="733"/>
      <c r="D116" s="733"/>
      <c r="E116" s="733"/>
      <c r="F116" s="733">
        <v>9005638.4600000009</v>
      </c>
      <c r="G116" s="733">
        <v>18442382.590000004</v>
      </c>
      <c r="H116" s="733"/>
      <c r="I116" s="408">
        <f t="shared" si="2"/>
        <v>18442382.590000004</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6">SUM(D119:D124)</f>
        <v>63610900.686000004</v>
      </c>
      <c r="E118" s="611">
        <f t="shared" si="36"/>
        <v>0</v>
      </c>
      <c r="F118" s="611">
        <f t="shared" si="36"/>
        <v>1725065.53</v>
      </c>
      <c r="G118" s="611">
        <f t="shared" si="36"/>
        <v>2537036.7000000002</v>
      </c>
      <c r="H118" s="611">
        <f t="shared" si="36"/>
        <v>10601816.781000001</v>
      </c>
      <c r="I118" s="611">
        <f t="shared" si="2"/>
        <v>-8064780.0810000012</v>
      </c>
      <c r="J118" s="611">
        <f t="shared" si="3"/>
        <v>-0.76069793013714981</v>
      </c>
      <c r="K118" s="614">
        <f t="shared" si="36"/>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c r="F120" s="733">
        <v>34543.090000000004</v>
      </c>
      <c r="G120" s="733">
        <v>411829.2</v>
      </c>
      <c r="H120" s="733">
        <f t="shared" ref="H120:H124" si="37">D120/12*2</f>
        <v>2081786.5991500001</v>
      </c>
      <c r="I120" s="408">
        <f t="shared" si="2"/>
        <v>-1669957.3991500002</v>
      </c>
      <c r="J120" s="408">
        <f t="shared" si="3"/>
        <v>-0.80217511239233119</v>
      </c>
      <c r="K120" s="735">
        <f>D120</f>
        <v>12490719.594900001</v>
      </c>
      <c r="L120" s="100"/>
    </row>
    <row r="121" spans="1:12" x14ac:dyDescent="0.25">
      <c r="A121" s="607" t="s">
        <v>1202</v>
      </c>
      <c r="B121" s="417"/>
      <c r="C121" s="733"/>
      <c r="D121" s="733">
        <v>7663197.0931999991</v>
      </c>
      <c r="E121" s="733"/>
      <c r="F121" s="733"/>
      <c r="G121" s="733">
        <v>400000</v>
      </c>
      <c r="H121" s="733">
        <f t="shared" si="37"/>
        <v>1277199.5155333332</v>
      </c>
      <c r="I121" s="408">
        <f>G121-H121</f>
        <v>-877199.51553333318</v>
      </c>
      <c r="J121" s="408">
        <f>IF(I121=0,"",I121/H121)</f>
        <v>-0.68681478881318869</v>
      </c>
      <c r="K121" s="735">
        <f>D121</f>
        <v>7663197.0931999991</v>
      </c>
      <c r="L121" s="100"/>
    </row>
    <row r="122" spans="1:12" x14ac:dyDescent="0.25">
      <c r="A122" s="607" t="s">
        <v>1203</v>
      </c>
      <c r="B122" s="417"/>
      <c r="C122" s="733"/>
      <c r="D122" s="733"/>
      <c r="E122" s="733"/>
      <c r="F122" s="733">
        <v>4530.58</v>
      </c>
      <c r="G122" s="733">
        <v>16606.940000000002</v>
      </c>
      <c r="H122" s="733">
        <f t="shared" si="37"/>
        <v>0</v>
      </c>
      <c r="I122" s="408">
        <f t="shared" si="2"/>
        <v>16606.940000000002</v>
      </c>
      <c r="J122" s="408" t="e">
        <f t="shared" si="3"/>
        <v>#DIV/0!</v>
      </c>
      <c r="K122" s="735"/>
      <c r="L122" s="100"/>
    </row>
    <row r="123" spans="1:12" x14ac:dyDescent="0.25">
      <c r="A123" s="607" t="s">
        <v>441</v>
      </c>
      <c r="B123" s="415"/>
      <c r="C123" s="733"/>
      <c r="D123" s="733">
        <v>43456983.997900009</v>
      </c>
      <c r="E123" s="733"/>
      <c r="F123" s="733">
        <v>1685991.86</v>
      </c>
      <c r="G123" s="733">
        <v>1708600.56</v>
      </c>
      <c r="H123" s="733">
        <f t="shared" si="37"/>
        <v>7242830.6663166685</v>
      </c>
      <c r="I123" s="408">
        <f t="shared" si="2"/>
        <v>-5534230.1063166689</v>
      </c>
      <c r="J123" s="408">
        <f t="shared" si="3"/>
        <v>-0.76409767966190678</v>
      </c>
      <c r="K123" s="735">
        <f>D123</f>
        <v>43456983.997900009</v>
      </c>
      <c r="L123" s="100"/>
    </row>
    <row r="124" spans="1:12" x14ac:dyDescent="0.25">
      <c r="A124" s="607" t="s">
        <v>176</v>
      </c>
      <c r="B124" s="415"/>
      <c r="C124" s="733"/>
      <c r="D124" s="733"/>
      <c r="E124" s="733"/>
      <c r="F124" s="733"/>
      <c r="G124" s="733"/>
      <c r="H124" s="733">
        <f t="shared" si="37"/>
        <v>0</v>
      </c>
      <c r="I124" s="408">
        <f>G124-H124</f>
        <v>0</v>
      </c>
      <c r="J124" s="408" t="str">
        <f>IF(I124=0,"",I124/H124)</f>
        <v/>
      </c>
      <c r="K124" s="735"/>
      <c r="L124" s="100"/>
    </row>
    <row r="125" spans="1:12" x14ac:dyDescent="0.25">
      <c r="A125" s="615" t="str">
        <f>"Total "&amp;A5</f>
        <v>Total Revenue - Functional</v>
      </c>
      <c r="B125" s="415">
        <v>2</v>
      </c>
      <c r="C125" s="616">
        <f t="shared" ref="C125:H125" si="38">C6+C26+C75+C99+C118</f>
        <v>0</v>
      </c>
      <c r="D125" s="616">
        <f t="shared" si="38"/>
        <v>6444077682.8720617</v>
      </c>
      <c r="E125" s="616">
        <f t="shared" si="38"/>
        <v>0</v>
      </c>
      <c r="F125" s="616">
        <f t="shared" si="38"/>
        <v>711064546.40999985</v>
      </c>
      <c r="G125" s="616">
        <f t="shared" si="38"/>
        <v>1130217501.5199997</v>
      </c>
      <c r="H125" s="616">
        <f t="shared" si="38"/>
        <v>1074012947.1453435</v>
      </c>
      <c r="I125" s="616">
        <f>G125-H125</f>
        <v>56204554.3746562</v>
      </c>
      <c r="J125" s="616">
        <f>IF(I125=0,"",I125/H125)</f>
        <v>5.2331356455286915E-2</v>
      </c>
      <c r="K125" s="617">
        <f>K6+K26+K75+K99+K118</f>
        <v>6444077682.8720617</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9">A6</f>
        <v>Municipal governance and administration</v>
      </c>
      <c r="B128" s="620"/>
      <c r="C128" s="605">
        <f t="shared" ref="C128:H128" si="40">C129+C132+C146</f>
        <v>0</v>
      </c>
      <c r="D128" s="605">
        <f t="shared" si="40"/>
        <v>1354264744.2416518</v>
      </c>
      <c r="E128" s="605">
        <f t="shared" si="40"/>
        <v>0</v>
      </c>
      <c r="F128" s="605">
        <f t="shared" si="40"/>
        <v>62637270.980000004</v>
      </c>
      <c r="G128" s="605">
        <f t="shared" si="40"/>
        <v>115431926.84999999</v>
      </c>
      <c r="H128" s="605">
        <f t="shared" si="40"/>
        <v>225710790.70694196</v>
      </c>
      <c r="I128" s="605">
        <f t="shared" ref="I128:I244" si="41">G128-H128</f>
        <v>-110278863.85694197</v>
      </c>
      <c r="J128" s="605">
        <f t="shared" ref="J128:J244" si="42">IF(I128=0,"",I128/H128)</f>
        <v>-0.48858481028550238</v>
      </c>
      <c r="K128" s="606">
        <f>K129+K132+K146</f>
        <v>1354264744.2416518</v>
      </c>
      <c r="L128" s="100"/>
    </row>
    <row r="129" spans="1:12" x14ac:dyDescent="0.25">
      <c r="A129" s="607" t="str">
        <f t="shared" si="39"/>
        <v>Executive and council</v>
      </c>
      <c r="B129" s="620"/>
      <c r="C129" s="608">
        <f t="shared" ref="C129:K129" si="43">SUM(C130:C131)</f>
        <v>0</v>
      </c>
      <c r="D129" s="608">
        <f t="shared" si="43"/>
        <v>137732466.40184778</v>
      </c>
      <c r="E129" s="608">
        <f t="shared" si="43"/>
        <v>0</v>
      </c>
      <c r="F129" s="608">
        <f t="shared" si="43"/>
        <v>6895686.1500000004</v>
      </c>
      <c r="G129" s="608">
        <f t="shared" si="43"/>
        <v>12732448.829999996</v>
      </c>
      <c r="H129" s="608">
        <f t="shared" si="43"/>
        <v>22955411.066974632</v>
      </c>
      <c r="I129" s="608">
        <f t="shared" si="41"/>
        <v>-10222962.236974636</v>
      </c>
      <c r="J129" s="608">
        <f t="shared" si="42"/>
        <v>-0.44533997701666744</v>
      </c>
      <c r="K129" s="610">
        <f t="shared" si="43"/>
        <v>137732466.40184778</v>
      </c>
      <c r="L129" s="100"/>
    </row>
    <row r="130" spans="1:12" x14ac:dyDescent="0.25">
      <c r="A130" s="695" t="str">
        <f t="shared" si="39"/>
        <v>Mayor and Council</v>
      </c>
      <c r="B130" s="620"/>
      <c r="C130" s="733"/>
      <c r="D130" s="733">
        <v>86039675.165266603</v>
      </c>
      <c r="E130" s="733"/>
      <c r="F130" s="733">
        <v>5153464.4700000007</v>
      </c>
      <c r="G130" s="733">
        <v>9999835.8499999978</v>
      </c>
      <c r="H130" s="733">
        <f t="shared" ref="H130:H131" si="44">D130/12*2</f>
        <v>14339945.860877767</v>
      </c>
      <c r="I130" s="408">
        <f t="shared" si="41"/>
        <v>-4340110.0108777694</v>
      </c>
      <c r="J130" s="408">
        <f t="shared" si="42"/>
        <v>-0.30265874452974439</v>
      </c>
      <c r="K130" s="735">
        <f t="shared" ref="K130:K144" si="45">D130</f>
        <v>86039675.165266603</v>
      </c>
      <c r="L130" s="100"/>
    </row>
    <row r="131" spans="1:12" ht="18.600000000000001" customHeight="1" x14ac:dyDescent="0.25">
      <c r="A131" s="695" t="str">
        <f t="shared" si="39"/>
        <v>Municipal Manager, Town Secretary and Chief Executive</v>
      </c>
      <c r="B131" s="620"/>
      <c r="C131" s="733"/>
      <c r="D131" s="733">
        <v>51692791.236581177</v>
      </c>
      <c r="E131" s="733"/>
      <c r="F131" s="733">
        <v>1742221.6799999997</v>
      </c>
      <c r="G131" s="733">
        <v>2732612.9799999991</v>
      </c>
      <c r="H131" s="733">
        <f t="shared" si="44"/>
        <v>8615465.2060968634</v>
      </c>
      <c r="I131" s="408">
        <f t="shared" si="41"/>
        <v>-5882852.2260968648</v>
      </c>
      <c r="J131" s="408">
        <f t="shared" si="42"/>
        <v>-0.68282467462508889</v>
      </c>
      <c r="K131" s="735">
        <f t="shared" si="45"/>
        <v>51692791.236581177</v>
      </c>
      <c r="L131" s="100"/>
    </row>
    <row r="132" spans="1:12" x14ac:dyDescent="0.25">
      <c r="A132" s="607" t="str">
        <f t="shared" si="39"/>
        <v>Finance and administration</v>
      </c>
      <c r="B132" s="620"/>
      <c r="C132" s="608">
        <f t="shared" ref="C132:H132" si="46">SUM(C133:C145)</f>
        <v>0</v>
      </c>
      <c r="D132" s="608">
        <f t="shared" si="46"/>
        <v>1194545745.0547059</v>
      </c>
      <c r="E132" s="608">
        <f t="shared" si="46"/>
        <v>0</v>
      </c>
      <c r="F132" s="608">
        <f t="shared" si="46"/>
        <v>55253510.790000007</v>
      </c>
      <c r="G132" s="608">
        <f t="shared" si="46"/>
        <v>101651018.47999999</v>
      </c>
      <c r="H132" s="608">
        <f t="shared" si="46"/>
        <v>199090957.50911766</v>
      </c>
      <c r="I132" s="608">
        <f t="shared" si="41"/>
        <v>-97439939.029117674</v>
      </c>
      <c r="J132" s="608">
        <f t="shared" si="42"/>
        <v>-0.48942423226155446</v>
      </c>
      <c r="K132" s="608">
        <f>SUM(K133:K145)</f>
        <v>1194545745.0547059</v>
      </c>
      <c r="L132" s="100"/>
    </row>
    <row r="133" spans="1:12" x14ac:dyDescent="0.25">
      <c r="A133" s="695" t="str">
        <f t="shared" si="39"/>
        <v>Administrative and Corporate Support</v>
      </c>
      <c r="B133" s="415"/>
      <c r="C133" s="733"/>
      <c r="D133" s="733">
        <v>63311187.597137183</v>
      </c>
      <c r="E133" s="733"/>
      <c r="F133" s="733">
        <v>3935097.1599999992</v>
      </c>
      <c r="G133" s="733">
        <v>7648700.5000000019</v>
      </c>
      <c r="H133" s="733">
        <f t="shared" ref="H133:H145" si="47">D133/12*2</f>
        <v>10551864.599522864</v>
      </c>
      <c r="I133" s="408">
        <f t="shared" si="41"/>
        <v>-2903164.0995228626</v>
      </c>
      <c r="J133" s="408">
        <f t="shared" si="42"/>
        <v>-0.27513280445753052</v>
      </c>
      <c r="K133" s="735">
        <f t="shared" si="45"/>
        <v>63311187.597137183</v>
      </c>
      <c r="L133" s="100"/>
    </row>
    <row r="134" spans="1:12" x14ac:dyDescent="0.25">
      <c r="A134" s="695" t="str">
        <f t="shared" si="39"/>
        <v>Asset Management</v>
      </c>
      <c r="B134" s="415"/>
      <c r="C134" s="733"/>
      <c r="D134" s="733">
        <v>114851325.40861207</v>
      </c>
      <c r="E134" s="733"/>
      <c r="F134" s="733">
        <v>4412926.28</v>
      </c>
      <c r="G134" s="733">
        <v>8980773.6499999985</v>
      </c>
      <c r="H134" s="733">
        <f t="shared" si="47"/>
        <v>19141887.568102013</v>
      </c>
      <c r="I134" s="408">
        <f t="shared" si="41"/>
        <v>-10161113.918102015</v>
      </c>
      <c r="J134" s="408">
        <f t="shared" si="42"/>
        <v>-0.53083134471202653</v>
      </c>
      <c r="K134" s="735">
        <f t="shared" si="45"/>
        <v>114851325.40861207</v>
      </c>
      <c r="L134" s="100"/>
    </row>
    <row r="135" spans="1:12" x14ac:dyDescent="0.25">
      <c r="A135" s="695" t="str">
        <f t="shared" si="39"/>
        <v>Finance</v>
      </c>
      <c r="B135" s="415"/>
      <c r="C135" s="733"/>
      <c r="D135" s="733">
        <v>527291938.10809231</v>
      </c>
      <c r="E135" s="733"/>
      <c r="F135" s="733">
        <v>14998301.119999994</v>
      </c>
      <c r="G135" s="733">
        <v>22545250.979999982</v>
      </c>
      <c r="H135" s="733">
        <f t="shared" si="47"/>
        <v>87881989.684682056</v>
      </c>
      <c r="I135" s="408">
        <f t="shared" si="41"/>
        <v>-65336738.704682074</v>
      </c>
      <c r="J135" s="408">
        <f t="shared" si="42"/>
        <v>-0.74345993916510467</v>
      </c>
      <c r="K135" s="735">
        <f t="shared" si="45"/>
        <v>527291938.10809231</v>
      </c>
      <c r="L135" s="100"/>
    </row>
    <row r="136" spans="1:12" x14ac:dyDescent="0.25">
      <c r="A136" s="695" t="str">
        <f t="shared" si="39"/>
        <v>Fleet Management</v>
      </c>
      <c r="B136" s="415"/>
      <c r="C136" s="733"/>
      <c r="D136" s="733"/>
      <c r="E136" s="733"/>
      <c r="F136" s="733"/>
      <c r="G136" s="733"/>
      <c r="H136" s="733">
        <f t="shared" si="47"/>
        <v>0</v>
      </c>
      <c r="I136" s="408">
        <f t="shared" si="41"/>
        <v>0</v>
      </c>
      <c r="J136" s="408" t="str">
        <f t="shared" si="42"/>
        <v/>
      </c>
      <c r="K136" s="735"/>
      <c r="L136" s="100"/>
    </row>
    <row r="137" spans="1:12" x14ac:dyDescent="0.25">
      <c r="A137" s="695" t="str">
        <f t="shared" si="39"/>
        <v>Human Resources</v>
      </c>
      <c r="B137" s="415"/>
      <c r="C137" s="733"/>
      <c r="D137" s="733">
        <v>167919296.40275738</v>
      </c>
      <c r="E137" s="733"/>
      <c r="F137" s="733">
        <v>5157036.76</v>
      </c>
      <c r="G137" s="733">
        <v>7694518.4899999993</v>
      </c>
      <c r="H137" s="733">
        <f t="shared" si="47"/>
        <v>27986549.400459561</v>
      </c>
      <c r="I137" s="408">
        <f t="shared" si="41"/>
        <v>-20292030.910459563</v>
      </c>
      <c r="J137" s="408">
        <f t="shared" si="42"/>
        <v>-0.72506369470922882</v>
      </c>
      <c r="K137" s="735">
        <f t="shared" si="45"/>
        <v>167919296.40275738</v>
      </c>
      <c r="L137" s="100"/>
    </row>
    <row r="138" spans="1:12" x14ac:dyDescent="0.25">
      <c r="A138" s="695" t="str">
        <f t="shared" si="39"/>
        <v>Information Technology</v>
      </c>
      <c r="B138" s="415"/>
      <c r="C138" s="733"/>
      <c r="D138" s="733">
        <v>36645394.820353068</v>
      </c>
      <c r="E138" s="733"/>
      <c r="F138" s="733">
        <v>4139607.99</v>
      </c>
      <c r="G138" s="733">
        <v>8531295.75</v>
      </c>
      <c r="H138" s="733">
        <f t="shared" si="47"/>
        <v>6107565.8033921784</v>
      </c>
      <c r="I138" s="408">
        <f t="shared" si="41"/>
        <v>2423729.9466078216</v>
      </c>
      <c r="J138" s="408">
        <f t="shared" si="42"/>
        <v>0.39684057849391774</v>
      </c>
      <c r="K138" s="735">
        <f t="shared" si="45"/>
        <v>36645394.820353068</v>
      </c>
      <c r="L138" s="100"/>
    </row>
    <row r="139" spans="1:12" x14ac:dyDescent="0.25">
      <c r="A139" s="695" t="str">
        <f t="shared" si="39"/>
        <v>Legal Services</v>
      </c>
      <c r="B139" s="415"/>
      <c r="C139" s="733"/>
      <c r="D139" s="733">
        <v>11011185.169427564</v>
      </c>
      <c r="E139" s="733"/>
      <c r="F139" s="733">
        <v>771458.67999999993</v>
      </c>
      <c r="G139" s="733">
        <v>1518123.3</v>
      </c>
      <c r="H139" s="733">
        <f t="shared" si="47"/>
        <v>1835197.5282379275</v>
      </c>
      <c r="I139" s="408">
        <f t="shared" si="41"/>
        <v>-317074.22823792743</v>
      </c>
      <c r="J139" s="408">
        <f t="shared" si="42"/>
        <v>-0.17277389673817159</v>
      </c>
      <c r="K139" s="735">
        <f t="shared" si="45"/>
        <v>11011185.169427564</v>
      </c>
      <c r="L139" s="100"/>
    </row>
    <row r="140" spans="1:12" ht="22.5" x14ac:dyDescent="0.25">
      <c r="A140" s="695" t="str">
        <f t="shared" si="39"/>
        <v>Marketing, Customer Relations, Publicity and Media Co-ordination</v>
      </c>
      <c r="B140" s="415"/>
      <c r="C140" s="733"/>
      <c r="D140" s="733">
        <v>20838266.324347999</v>
      </c>
      <c r="E140" s="733"/>
      <c r="F140" s="733">
        <v>1472736.72</v>
      </c>
      <c r="G140" s="733">
        <v>2706885.709999999</v>
      </c>
      <c r="H140" s="733">
        <f t="shared" si="47"/>
        <v>3473044.387391333</v>
      </c>
      <c r="I140" s="408">
        <f t="shared" si="41"/>
        <v>-766158.67739133397</v>
      </c>
      <c r="J140" s="408">
        <f t="shared" si="42"/>
        <v>-0.22060146428672905</v>
      </c>
      <c r="K140" s="735">
        <f t="shared" si="45"/>
        <v>20838266.324347999</v>
      </c>
      <c r="L140" s="100"/>
    </row>
    <row r="141" spans="1:12" x14ac:dyDescent="0.25">
      <c r="A141" s="695" t="str">
        <f t="shared" si="39"/>
        <v>Property Services</v>
      </c>
      <c r="B141" s="415"/>
      <c r="C141" s="733"/>
      <c r="D141" s="733">
        <v>57794332.631016083</v>
      </c>
      <c r="E141" s="733"/>
      <c r="F141" s="733">
        <v>4403900.9100000011</v>
      </c>
      <c r="G141" s="733">
        <v>7342223.5899999999</v>
      </c>
      <c r="H141" s="733">
        <f t="shared" si="47"/>
        <v>9632388.7718360145</v>
      </c>
      <c r="I141" s="408">
        <f t="shared" si="41"/>
        <v>-2290165.1818360146</v>
      </c>
      <c r="J141" s="408">
        <f t="shared" si="42"/>
        <v>-0.23775672225068317</v>
      </c>
      <c r="K141" s="735">
        <f t="shared" si="45"/>
        <v>57794332.631016083</v>
      </c>
      <c r="L141" s="100"/>
    </row>
    <row r="142" spans="1:12" x14ac:dyDescent="0.25">
      <c r="A142" s="695" t="str">
        <f t="shared" si="39"/>
        <v>Risk Management</v>
      </c>
      <c r="B142" s="415"/>
      <c r="C142" s="733"/>
      <c r="D142" s="733"/>
      <c r="E142" s="733"/>
      <c r="F142" s="733"/>
      <c r="G142" s="733"/>
      <c r="H142" s="733">
        <f t="shared" si="47"/>
        <v>0</v>
      </c>
      <c r="I142" s="408">
        <f t="shared" si="41"/>
        <v>0</v>
      </c>
      <c r="J142" s="408" t="str">
        <f t="shared" si="42"/>
        <v/>
      </c>
      <c r="K142" s="735"/>
      <c r="L142" s="100"/>
    </row>
    <row r="143" spans="1:12" x14ac:dyDescent="0.25">
      <c r="A143" s="695" t="str">
        <f t="shared" si="39"/>
        <v>Security Services</v>
      </c>
      <c r="B143" s="415"/>
      <c r="C143" s="733"/>
      <c r="D143" s="733">
        <v>131236960.70425577</v>
      </c>
      <c r="E143" s="733"/>
      <c r="F143" s="733">
        <v>13587574.110000003</v>
      </c>
      <c r="G143" s="733">
        <v>30246074.220000006</v>
      </c>
      <c r="H143" s="733">
        <f t="shared" si="47"/>
        <v>21872826.78404263</v>
      </c>
      <c r="I143" s="408">
        <f t="shared" si="41"/>
        <v>8373247.4359573759</v>
      </c>
      <c r="J143" s="408">
        <f t="shared" si="42"/>
        <v>0.38281505717706765</v>
      </c>
      <c r="K143" s="735">
        <f t="shared" si="45"/>
        <v>131236960.70425577</v>
      </c>
      <c r="L143" s="100"/>
    </row>
    <row r="144" spans="1:12" x14ac:dyDescent="0.25">
      <c r="A144" s="695" t="str">
        <f t="shared" si="39"/>
        <v xml:space="preserve">Supply Chain Management </v>
      </c>
      <c r="B144" s="415"/>
      <c r="C144" s="733"/>
      <c r="D144" s="733">
        <v>63645857.888706505</v>
      </c>
      <c r="E144" s="733"/>
      <c r="F144" s="733">
        <v>2374871.06</v>
      </c>
      <c r="G144" s="733">
        <v>4437172.2899999991</v>
      </c>
      <c r="H144" s="733">
        <f t="shared" si="47"/>
        <v>10607642.981451085</v>
      </c>
      <c r="I144" s="408">
        <f t="shared" si="41"/>
        <v>-6170470.6914510857</v>
      </c>
      <c r="J144" s="408">
        <f t="shared" si="42"/>
        <v>-0.58170044959478728</v>
      </c>
      <c r="K144" s="735">
        <f t="shared" si="45"/>
        <v>63645857.888706505</v>
      </c>
      <c r="L144" s="100"/>
    </row>
    <row r="145" spans="1:12" x14ac:dyDescent="0.25">
      <c r="A145" s="695" t="str">
        <f t="shared" si="39"/>
        <v>Valuation Service</v>
      </c>
      <c r="B145" s="415"/>
      <c r="C145" s="733"/>
      <c r="D145" s="733"/>
      <c r="E145" s="733"/>
      <c r="F145" s="733"/>
      <c r="G145" s="733"/>
      <c r="H145" s="733">
        <f t="shared" si="47"/>
        <v>0</v>
      </c>
      <c r="I145" s="408">
        <f t="shared" si="41"/>
        <v>0</v>
      </c>
      <c r="J145" s="408" t="str">
        <f t="shared" si="42"/>
        <v/>
      </c>
      <c r="K145" s="735"/>
      <c r="L145" s="100"/>
    </row>
    <row r="146" spans="1:12" x14ac:dyDescent="0.25">
      <c r="A146" s="607" t="str">
        <f t="shared" si="39"/>
        <v>Internal audit</v>
      </c>
      <c r="B146" s="620"/>
      <c r="C146" s="608">
        <f t="shared" ref="C146:H146" si="48">SUM(C147:C147)</f>
        <v>0</v>
      </c>
      <c r="D146" s="608">
        <f t="shared" si="48"/>
        <v>21986532.785097998</v>
      </c>
      <c r="E146" s="608">
        <f t="shared" si="48"/>
        <v>0</v>
      </c>
      <c r="F146" s="608">
        <f t="shared" si="48"/>
        <v>488074.03999999992</v>
      </c>
      <c r="G146" s="608">
        <f t="shared" si="48"/>
        <v>1048459.5399999999</v>
      </c>
      <c r="H146" s="608">
        <f t="shared" si="48"/>
        <v>3664422.1308496664</v>
      </c>
      <c r="I146" s="608">
        <f t="shared" si="41"/>
        <v>-2615962.5908496664</v>
      </c>
      <c r="J146" s="608">
        <f t="shared" si="42"/>
        <v>-0.71388134266155234</v>
      </c>
      <c r="K146" s="610">
        <f>SUM(K147:K147)</f>
        <v>21986532.785097998</v>
      </c>
      <c r="L146" s="100"/>
    </row>
    <row r="147" spans="1:12" x14ac:dyDescent="0.25">
      <c r="A147" s="695" t="str">
        <f t="shared" si="39"/>
        <v>Governance Function</v>
      </c>
      <c r="B147" s="620"/>
      <c r="C147" s="733"/>
      <c r="D147" s="733">
        <v>21986532.785097998</v>
      </c>
      <c r="E147" s="733"/>
      <c r="F147" s="733">
        <v>488074.03999999992</v>
      </c>
      <c r="G147" s="733">
        <v>1048459.5399999999</v>
      </c>
      <c r="H147" s="733">
        <f>D147/12*2</f>
        <v>3664422.1308496664</v>
      </c>
      <c r="I147" s="408">
        <f t="shared" si="41"/>
        <v>-2615962.5908496664</v>
      </c>
      <c r="J147" s="408">
        <f t="shared" si="42"/>
        <v>-0.71388134266155234</v>
      </c>
      <c r="K147" s="735">
        <f>D147</f>
        <v>21986532.785097998</v>
      </c>
      <c r="L147" s="100"/>
    </row>
    <row r="148" spans="1:12" x14ac:dyDescent="0.25">
      <c r="A148" s="414" t="str">
        <f t="shared" si="39"/>
        <v>Community and public safety</v>
      </c>
      <c r="B148" s="620"/>
      <c r="C148" s="605">
        <f t="shared" ref="C148:H148" si="49">C149+C171+C177+C186+C189</f>
        <v>0</v>
      </c>
      <c r="D148" s="605">
        <f t="shared" si="49"/>
        <v>440067727.15977156</v>
      </c>
      <c r="E148" s="605">
        <f t="shared" si="49"/>
        <v>0</v>
      </c>
      <c r="F148" s="605">
        <f t="shared" si="49"/>
        <v>56936772.059999816</v>
      </c>
      <c r="G148" s="605">
        <f t="shared" si="49"/>
        <v>95742528.639999807</v>
      </c>
      <c r="H148" s="605">
        <f t="shared" si="49"/>
        <v>73344621.19329527</v>
      </c>
      <c r="I148" s="605">
        <f t="shared" si="41"/>
        <v>22397907.446704537</v>
      </c>
      <c r="J148" s="605">
        <f t="shared" si="42"/>
        <v>0.30537900506263738</v>
      </c>
      <c r="K148" s="606">
        <f>K149+K171+K177+K186+K189</f>
        <v>440067727.15977156</v>
      </c>
      <c r="L148" s="100"/>
    </row>
    <row r="149" spans="1:12" x14ac:dyDescent="0.25">
      <c r="A149" s="607" t="str">
        <f t="shared" si="39"/>
        <v>Community and social services</v>
      </c>
      <c r="B149" s="620"/>
      <c r="C149" s="611">
        <f t="shared" ref="C149:H149" si="50">SUM(C150:C170)</f>
        <v>0</v>
      </c>
      <c r="D149" s="611">
        <f t="shared" si="50"/>
        <v>128373725.79885694</v>
      </c>
      <c r="E149" s="611">
        <f t="shared" si="50"/>
        <v>0</v>
      </c>
      <c r="F149" s="611">
        <f t="shared" si="50"/>
        <v>26199159.999999993</v>
      </c>
      <c r="G149" s="611">
        <f t="shared" si="50"/>
        <v>34055078.169999994</v>
      </c>
      <c r="H149" s="611">
        <f t="shared" si="50"/>
        <v>21395620.966476154</v>
      </c>
      <c r="I149" s="611">
        <f t="shared" si="41"/>
        <v>12659457.203523841</v>
      </c>
      <c r="J149" s="611">
        <f t="shared" si="42"/>
        <v>0.59168449578347737</v>
      </c>
      <c r="K149" s="614">
        <f>SUM(K150:K170)</f>
        <v>128373725.79885694</v>
      </c>
      <c r="L149" s="100"/>
    </row>
    <row r="150" spans="1:12" x14ac:dyDescent="0.25">
      <c r="A150" s="695" t="str">
        <f t="shared" si="39"/>
        <v>Aged Care</v>
      </c>
      <c r="B150" s="620"/>
      <c r="C150" s="733"/>
      <c r="D150" s="733">
        <v>4431.0612499999997</v>
      </c>
      <c r="E150" s="733"/>
      <c r="F150" s="733">
        <v>537.32000000000005</v>
      </c>
      <c r="G150" s="733">
        <v>1074.6400000000001</v>
      </c>
      <c r="H150" s="733">
        <f t="shared" ref="H150:H170" si="51">D150/12*2</f>
        <v>738.51020833333325</v>
      </c>
      <c r="I150" s="408">
        <f t="shared" si="41"/>
        <v>336.12979166666685</v>
      </c>
      <c r="J150" s="408">
        <f t="shared" si="42"/>
        <v>0.45514576220312941</v>
      </c>
      <c r="K150" s="735">
        <f>D150</f>
        <v>4431.0612499999997</v>
      </c>
      <c r="L150" s="100"/>
    </row>
    <row r="151" spans="1:12" x14ac:dyDescent="0.25">
      <c r="A151" s="695" t="str">
        <f t="shared" si="39"/>
        <v>Agricultural</v>
      </c>
      <c r="B151" s="620"/>
      <c r="C151" s="733"/>
      <c r="D151" s="733"/>
      <c r="E151" s="733"/>
      <c r="F151" s="733"/>
      <c r="G151" s="733"/>
      <c r="H151" s="733">
        <f t="shared" si="51"/>
        <v>0</v>
      </c>
      <c r="I151" s="408">
        <f t="shared" si="41"/>
        <v>0</v>
      </c>
      <c r="J151" s="408" t="str">
        <f t="shared" si="42"/>
        <v/>
      </c>
      <c r="K151" s="735"/>
      <c r="L151" s="100"/>
    </row>
    <row r="152" spans="1:12" x14ac:dyDescent="0.25">
      <c r="A152" s="695" t="str">
        <f t="shared" si="39"/>
        <v>Animal Care and Diseases</v>
      </c>
      <c r="B152" s="620"/>
      <c r="C152" s="733"/>
      <c r="D152" s="733">
        <v>982940.46</v>
      </c>
      <c r="E152" s="733"/>
      <c r="F152" s="733"/>
      <c r="G152" s="733">
        <v>111726.94</v>
      </c>
      <c r="H152" s="733">
        <f t="shared" si="51"/>
        <v>163823.41</v>
      </c>
      <c r="I152" s="408">
        <f t="shared" si="41"/>
        <v>-52096.47</v>
      </c>
      <c r="J152" s="408">
        <f t="shared" si="42"/>
        <v>-0.31800381886813367</v>
      </c>
      <c r="K152" s="735">
        <f>D152</f>
        <v>982940.46</v>
      </c>
      <c r="L152" s="100"/>
    </row>
    <row r="153" spans="1:12" ht="22.5" x14ac:dyDescent="0.25">
      <c r="A153" s="695" t="str">
        <f t="shared" si="39"/>
        <v>Cemeteries, Funeral Parlours and Crematoriums</v>
      </c>
      <c r="B153" s="620"/>
      <c r="C153" s="733"/>
      <c r="D153" s="733">
        <v>26579168.830668706</v>
      </c>
      <c r="E153" s="733"/>
      <c r="F153" s="733">
        <v>2024658.06</v>
      </c>
      <c r="G153" s="733">
        <v>4000468.62</v>
      </c>
      <c r="H153" s="733">
        <f t="shared" si="51"/>
        <v>4429861.4717781181</v>
      </c>
      <c r="I153" s="408">
        <f t="shared" si="41"/>
        <v>-429392.85177811794</v>
      </c>
      <c r="J153" s="408">
        <f t="shared" si="42"/>
        <v>-9.6931440071818406E-2</v>
      </c>
      <c r="K153" s="735">
        <f>D153</f>
        <v>26579168.830668706</v>
      </c>
      <c r="L153" s="100"/>
    </row>
    <row r="154" spans="1:12" x14ac:dyDescent="0.25">
      <c r="A154" s="695" t="str">
        <f t="shared" si="39"/>
        <v>Child Care Facilities</v>
      </c>
      <c r="B154" s="620"/>
      <c r="C154" s="733"/>
      <c r="D154" s="733"/>
      <c r="E154" s="733"/>
      <c r="F154" s="733"/>
      <c r="G154" s="733"/>
      <c r="H154" s="733">
        <f t="shared" si="51"/>
        <v>0</v>
      </c>
      <c r="I154" s="408">
        <f t="shared" si="41"/>
        <v>0</v>
      </c>
      <c r="J154" s="408" t="str">
        <f t="shared" si="42"/>
        <v/>
      </c>
      <c r="K154" s="735"/>
      <c r="L154" s="100"/>
    </row>
    <row r="155" spans="1:12" x14ac:dyDescent="0.25">
      <c r="A155" s="695" t="str">
        <f t="shared" si="39"/>
        <v>Community Halls and Facilities</v>
      </c>
      <c r="B155" s="620"/>
      <c r="C155" s="733"/>
      <c r="D155" s="733">
        <v>15746961.964834005</v>
      </c>
      <c r="E155" s="733"/>
      <c r="F155" s="733">
        <v>18223841.619999994</v>
      </c>
      <c r="G155" s="733">
        <v>19259807.119999997</v>
      </c>
      <c r="H155" s="733">
        <f t="shared" si="51"/>
        <v>2624493.6608056673</v>
      </c>
      <c r="I155" s="408">
        <f t="shared" si="41"/>
        <v>16635313.45919433</v>
      </c>
      <c r="J155" s="408">
        <f t="shared" si="42"/>
        <v>6.338484907632667</v>
      </c>
      <c r="K155" s="735">
        <f>D155</f>
        <v>15746961.964834005</v>
      </c>
      <c r="L155" s="100"/>
    </row>
    <row r="156" spans="1:12" x14ac:dyDescent="0.25">
      <c r="A156" s="695" t="str">
        <f t="shared" si="39"/>
        <v>Consumer Protection</v>
      </c>
      <c r="B156" s="620"/>
      <c r="C156" s="733"/>
      <c r="D156" s="733"/>
      <c r="E156" s="733"/>
      <c r="F156" s="733"/>
      <c r="G156" s="733"/>
      <c r="H156" s="733">
        <f t="shared" si="51"/>
        <v>0</v>
      </c>
      <c r="I156" s="408">
        <f t="shared" si="41"/>
        <v>0</v>
      </c>
      <c r="J156" s="408" t="str">
        <f t="shared" si="42"/>
        <v/>
      </c>
      <c r="K156" s="735"/>
      <c r="L156" s="100"/>
    </row>
    <row r="157" spans="1:12" x14ac:dyDescent="0.25">
      <c r="A157" s="695" t="str">
        <f t="shared" si="39"/>
        <v>Cultural Matters</v>
      </c>
      <c r="B157" s="620"/>
      <c r="C157" s="733"/>
      <c r="D157" s="733"/>
      <c r="E157" s="733"/>
      <c r="F157" s="733"/>
      <c r="G157" s="733"/>
      <c r="H157" s="733">
        <f t="shared" si="51"/>
        <v>0</v>
      </c>
      <c r="I157" s="408">
        <f>G157-H157</f>
        <v>0</v>
      </c>
      <c r="J157" s="408" t="str">
        <f>IF(I157=0,"",I157/H157)</f>
        <v/>
      </c>
      <c r="K157" s="735"/>
      <c r="L157" s="100"/>
    </row>
    <row r="158" spans="1:12" x14ac:dyDescent="0.25">
      <c r="A158" s="695" t="str">
        <f t="shared" si="39"/>
        <v>Disaster Management</v>
      </c>
      <c r="B158" s="620"/>
      <c r="C158" s="733"/>
      <c r="D158" s="733"/>
      <c r="E158" s="733"/>
      <c r="F158" s="733"/>
      <c r="G158" s="733"/>
      <c r="H158" s="733">
        <f t="shared" si="51"/>
        <v>0</v>
      </c>
      <c r="I158" s="408">
        <f>G158-H158</f>
        <v>0</v>
      </c>
      <c r="J158" s="408" t="str">
        <f>IF(I158=0,"",I158/H158)</f>
        <v/>
      </c>
      <c r="K158" s="735"/>
      <c r="L158" s="100"/>
    </row>
    <row r="159" spans="1:12" x14ac:dyDescent="0.25">
      <c r="A159" s="695" t="str">
        <f t="shared" si="39"/>
        <v>Education</v>
      </c>
      <c r="B159" s="620"/>
      <c r="C159" s="733"/>
      <c r="D159" s="733"/>
      <c r="E159" s="733"/>
      <c r="F159" s="733"/>
      <c r="G159" s="733"/>
      <c r="H159" s="733">
        <f t="shared" si="51"/>
        <v>0</v>
      </c>
      <c r="I159" s="408">
        <f t="shared" ref="I159:I164" si="52">G159-H159</f>
        <v>0</v>
      </c>
      <c r="J159" s="408" t="str">
        <f t="shared" ref="J159:J164" si="53">IF(I159=0,"",I159/H159)</f>
        <v/>
      </c>
      <c r="K159" s="735"/>
      <c r="L159" s="100"/>
    </row>
    <row r="160" spans="1:12" x14ac:dyDescent="0.25">
      <c r="A160" s="695" t="str">
        <f t="shared" ref="A160:A191" si="54">A38</f>
        <v>Indigenous and Customary Law</v>
      </c>
      <c r="B160" s="620"/>
      <c r="C160" s="733"/>
      <c r="D160" s="733"/>
      <c r="E160" s="733"/>
      <c r="F160" s="733"/>
      <c r="G160" s="733"/>
      <c r="H160" s="733">
        <f t="shared" si="51"/>
        <v>0</v>
      </c>
      <c r="I160" s="408">
        <f t="shared" si="52"/>
        <v>0</v>
      </c>
      <c r="J160" s="408" t="str">
        <f t="shared" si="53"/>
        <v/>
      </c>
      <c r="K160" s="735"/>
      <c r="L160" s="100"/>
    </row>
    <row r="161" spans="1:12" x14ac:dyDescent="0.25">
      <c r="A161" s="695" t="str">
        <f t="shared" si="54"/>
        <v>Industrial Promotion</v>
      </c>
      <c r="B161" s="620"/>
      <c r="C161" s="733"/>
      <c r="D161" s="733"/>
      <c r="E161" s="733"/>
      <c r="F161" s="733"/>
      <c r="G161" s="733"/>
      <c r="H161" s="733">
        <f t="shared" si="51"/>
        <v>0</v>
      </c>
      <c r="I161" s="408">
        <f t="shared" si="52"/>
        <v>0</v>
      </c>
      <c r="J161" s="408" t="str">
        <f t="shared" si="53"/>
        <v/>
      </c>
      <c r="K161" s="735"/>
      <c r="L161" s="100"/>
    </row>
    <row r="162" spans="1:12" x14ac:dyDescent="0.25">
      <c r="A162" s="695" t="str">
        <f t="shared" si="54"/>
        <v>Language Policy</v>
      </c>
      <c r="B162" s="620"/>
      <c r="C162" s="733"/>
      <c r="D162" s="733"/>
      <c r="E162" s="733"/>
      <c r="F162" s="733"/>
      <c r="G162" s="733"/>
      <c r="H162" s="733">
        <f t="shared" si="51"/>
        <v>0</v>
      </c>
      <c r="I162" s="408">
        <f t="shared" si="52"/>
        <v>0</v>
      </c>
      <c r="J162" s="408" t="str">
        <f t="shared" si="53"/>
        <v/>
      </c>
      <c r="K162" s="735"/>
      <c r="L162" s="100"/>
    </row>
    <row r="163" spans="1:12" x14ac:dyDescent="0.25">
      <c r="A163" s="695" t="str">
        <f t="shared" si="54"/>
        <v>Libraries and Archives</v>
      </c>
      <c r="B163" s="620"/>
      <c r="C163" s="733"/>
      <c r="D163" s="733">
        <v>68987451.478751421</v>
      </c>
      <c r="E163" s="733"/>
      <c r="F163" s="733">
        <v>4995753.1199999992</v>
      </c>
      <c r="G163" s="733">
        <v>8937658.4299999978</v>
      </c>
      <c r="H163" s="733">
        <f t="shared" si="51"/>
        <v>11497908.579791903</v>
      </c>
      <c r="I163" s="408">
        <f t="shared" si="52"/>
        <v>-2560250.1497919057</v>
      </c>
      <c r="J163" s="408">
        <f t="shared" si="53"/>
        <v>-0.22267094333065593</v>
      </c>
      <c r="K163" s="735">
        <f>D163</f>
        <v>68987451.478751421</v>
      </c>
      <c r="L163" s="100"/>
    </row>
    <row r="164" spans="1:12" x14ac:dyDescent="0.25">
      <c r="A164" s="695" t="str">
        <f t="shared" si="54"/>
        <v>Literacy Programmes</v>
      </c>
      <c r="B164" s="620"/>
      <c r="C164" s="733"/>
      <c r="D164" s="733"/>
      <c r="E164" s="733"/>
      <c r="F164" s="733"/>
      <c r="G164" s="733"/>
      <c r="H164" s="733">
        <f t="shared" si="51"/>
        <v>0</v>
      </c>
      <c r="I164" s="408">
        <f t="shared" si="52"/>
        <v>0</v>
      </c>
      <c r="J164" s="408" t="str">
        <f t="shared" si="53"/>
        <v/>
      </c>
      <c r="K164" s="735"/>
      <c r="L164" s="100"/>
    </row>
    <row r="165" spans="1:12" x14ac:dyDescent="0.25">
      <c r="A165" s="695" t="str">
        <f t="shared" si="54"/>
        <v>Media Services</v>
      </c>
      <c r="B165" s="620"/>
      <c r="C165" s="733"/>
      <c r="D165" s="733"/>
      <c r="E165" s="733"/>
      <c r="F165" s="733"/>
      <c r="G165" s="733"/>
      <c r="H165" s="733">
        <f t="shared" si="51"/>
        <v>0</v>
      </c>
      <c r="I165" s="408">
        <f t="shared" si="41"/>
        <v>0</v>
      </c>
      <c r="J165" s="408" t="str">
        <f t="shared" si="42"/>
        <v/>
      </c>
      <c r="K165" s="735"/>
      <c r="L165" s="100"/>
    </row>
    <row r="166" spans="1:12" x14ac:dyDescent="0.25">
      <c r="A166" s="695" t="str">
        <f t="shared" si="54"/>
        <v>Museums and Art Galleries</v>
      </c>
      <c r="B166" s="620"/>
      <c r="C166" s="733"/>
      <c r="D166" s="733">
        <v>7907722.2016169671</v>
      </c>
      <c r="E166" s="733"/>
      <c r="F166" s="733">
        <v>536252.09</v>
      </c>
      <c r="G166" s="733">
        <v>946530.98999999987</v>
      </c>
      <c r="H166" s="733">
        <f t="shared" si="51"/>
        <v>1317953.7002694944</v>
      </c>
      <c r="I166" s="408">
        <f t="shared" si="41"/>
        <v>-371422.71026949456</v>
      </c>
      <c r="J166" s="408">
        <f t="shared" si="42"/>
        <v>-0.28181772257519083</v>
      </c>
      <c r="K166" s="735">
        <f>D166</f>
        <v>7907722.2016169671</v>
      </c>
      <c r="L166" s="100"/>
    </row>
    <row r="167" spans="1:12" x14ac:dyDescent="0.25">
      <c r="A167" s="695" t="str">
        <f t="shared" si="54"/>
        <v>Population Development</v>
      </c>
      <c r="B167" s="620"/>
      <c r="C167" s="733"/>
      <c r="D167" s="733">
        <v>8165049.8017358435</v>
      </c>
      <c r="E167" s="733"/>
      <c r="F167" s="733">
        <v>418069.12</v>
      </c>
      <c r="G167" s="733">
        <v>797714.15999999992</v>
      </c>
      <c r="H167" s="733">
        <f t="shared" si="51"/>
        <v>1360841.6336226405</v>
      </c>
      <c r="I167" s="408">
        <f t="shared" si="41"/>
        <v>-563127.47362264059</v>
      </c>
      <c r="J167" s="408">
        <f t="shared" si="42"/>
        <v>-0.41380823433771802</v>
      </c>
      <c r="K167" s="735">
        <f>D167</f>
        <v>8165049.8017358435</v>
      </c>
      <c r="L167" s="100"/>
    </row>
    <row r="168" spans="1:12" x14ac:dyDescent="0.25">
      <c r="A168" s="695" t="str">
        <f t="shared" si="54"/>
        <v>Provincial Cultural Matters</v>
      </c>
      <c r="B168" s="620"/>
      <c r="C168" s="733"/>
      <c r="D168" s="733"/>
      <c r="E168" s="733"/>
      <c r="F168" s="733"/>
      <c r="G168" s="733"/>
      <c r="H168" s="733">
        <f t="shared" si="51"/>
        <v>0</v>
      </c>
      <c r="I168" s="408">
        <f t="shared" si="41"/>
        <v>0</v>
      </c>
      <c r="J168" s="408" t="str">
        <f t="shared" si="42"/>
        <v/>
      </c>
      <c r="K168" s="735"/>
      <c r="L168" s="100"/>
    </row>
    <row r="169" spans="1:12" x14ac:dyDescent="0.25">
      <c r="A169" s="695" t="str">
        <f t="shared" si="54"/>
        <v>Theatres</v>
      </c>
      <c r="B169" s="620"/>
      <c r="C169" s="733"/>
      <c r="D169" s="733"/>
      <c r="E169" s="733"/>
      <c r="F169" s="733">
        <v>48.67</v>
      </c>
      <c r="G169" s="733">
        <v>97.27</v>
      </c>
      <c r="H169" s="733">
        <f t="shared" si="51"/>
        <v>0</v>
      </c>
      <c r="I169" s="408">
        <f t="shared" si="41"/>
        <v>97.27</v>
      </c>
      <c r="J169" s="408" t="e">
        <f t="shared" si="42"/>
        <v>#DIV/0!</v>
      </c>
      <c r="K169" s="735"/>
      <c r="L169" s="100"/>
    </row>
    <row r="170" spans="1:12" x14ac:dyDescent="0.25">
      <c r="A170" s="695" t="str">
        <f t="shared" si="54"/>
        <v>Zoo's</v>
      </c>
      <c r="B170" s="620"/>
      <c r="C170" s="733"/>
      <c r="D170" s="733"/>
      <c r="E170" s="733"/>
      <c r="F170" s="733"/>
      <c r="G170" s="733"/>
      <c r="H170" s="733">
        <f t="shared" si="51"/>
        <v>0</v>
      </c>
      <c r="I170" s="408">
        <f t="shared" si="41"/>
        <v>0</v>
      </c>
      <c r="J170" s="408" t="str">
        <f t="shared" si="42"/>
        <v/>
      </c>
      <c r="K170" s="735"/>
      <c r="L170" s="100"/>
    </row>
    <row r="171" spans="1:12" x14ac:dyDescent="0.25">
      <c r="A171" s="607" t="str">
        <f t="shared" si="54"/>
        <v>Sport and recreation</v>
      </c>
      <c r="B171" s="620"/>
      <c r="C171" s="611">
        <f t="shared" ref="C171:K171" si="55">SUM(C172:C176)</f>
        <v>0</v>
      </c>
      <c r="D171" s="611">
        <f t="shared" si="55"/>
        <v>114418472.68896006</v>
      </c>
      <c r="E171" s="611">
        <f t="shared" si="55"/>
        <v>0</v>
      </c>
      <c r="F171" s="611">
        <f t="shared" si="55"/>
        <v>10013909.170000002</v>
      </c>
      <c r="G171" s="611">
        <f t="shared" si="55"/>
        <v>19253632.210000005</v>
      </c>
      <c r="H171" s="611">
        <f t="shared" si="55"/>
        <v>19069745.448160008</v>
      </c>
      <c r="I171" s="611">
        <f t="shared" ref="I171:I176" si="56">G171-H171</f>
        <v>183886.76183999702</v>
      </c>
      <c r="J171" s="611">
        <f t="shared" ref="J171:J176" si="57">IF(I171=0,"",I171/H171)</f>
        <v>9.6428535105454061E-3</v>
      </c>
      <c r="K171" s="614">
        <f t="shared" si="55"/>
        <v>114418472.68896006</v>
      </c>
      <c r="L171" s="100"/>
    </row>
    <row r="172" spans="1:12" x14ac:dyDescent="0.25">
      <c r="A172" s="695" t="str">
        <f t="shared" si="54"/>
        <v xml:space="preserve">Beaches and Jetties </v>
      </c>
      <c r="B172" s="620"/>
      <c r="C172" s="733"/>
      <c r="D172" s="733"/>
      <c r="E172" s="733"/>
      <c r="F172" s="733"/>
      <c r="G172" s="733"/>
      <c r="H172" s="733">
        <f t="shared" ref="H172:H176" si="58">D172/12*2</f>
        <v>0</v>
      </c>
      <c r="I172" s="408">
        <f t="shared" si="56"/>
        <v>0</v>
      </c>
      <c r="J172" s="408" t="str">
        <f t="shared" si="57"/>
        <v/>
      </c>
      <c r="K172" s="735"/>
      <c r="L172" s="100"/>
    </row>
    <row r="173" spans="1:12" x14ac:dyDescent="0.25">
      <c r="A173" s="695" t="str">
        <f t="shared" si="54"/>
        <v>Casinos, Racing, Gambling, Wagering</v>
      </c>
      <c r="B173" s="620"/>
      <c r="C173" s="733"/>
      <c r="D173" s="733"/>
      <c r="E173" s="733"/>
      <c r="F173" s="733"/>
      <c r="G173" s="733"/>
      <c r="H173" s="733">
        <f t="shared" si="58"/>
        <v>0</v>
      </c>
      <c r="I173" s="408">
        <f t="shared" si="56"/>
        <v>0</v>
      </c>
      <c r="J173" s="408" t="str">
        <f t="shared" si="57"/>
        <v/>
      </c>
      <c r="K173" s="735"/>
      <c r="L173" s="100"/>
    </row>
    <row r="174" spans="1:12" x14ac:dyDescent="0.25">
      <c r="A174" s="695" t="str">
        <f t="shared" si="54"/>
        <v>Community Parks (including Nurseries)</v>
      </c>
      <c r="B174" s="620"/>
      <c r="C174" s="733"/>
      <c r="D174" s="733">
        <v>48114791.713263765</v>
      </c>
      <c r="E174" s="733"/>
      <c r="F174" s="733">
        <v>4052900.9800000018</v>
      </c>
      <c r="G174" s="733">
        <v>7981601.8200000012</v>
      </c>
      <c r="H174" s="733">
        <f t="shared" si="58"/>
        <v>8019131.9522106275</v>
      </c>
      <c r="I174" s="408">
        <f t="shared" si="56"/>
        <v>-37530.132210626267</v>
      </c>
      <c r="J174" s="408">
        <f t="shared" si="57"/>
        <v>-4.6800741569391893E-3</v>
      </c>
      <c r="K174" s="735">
        <f>D174</f>
        <v>48114791.713263765</v>
      </c>
      <c r="L174" s="100"/>
    </row>
    <row r="175" spans="1:12" x14ac:dyDescent="0.25">
      <c r="A175" s="695" t="str">
        <f t="shared" si="54"/>
        <v>Recreational Facilities</v>
      </c>
      <c r="B175" s="620"/>
      <c r="C175" s="733"/>
      <c r="D175" s="733">
        <v>66303680.975696295</v>
      </c>
      <c r="E175" s="733"/>
      <c r="F175" s="733">
        <v>5961008.1899999995</v>
      </c>
      <c r="G175" s="733">
        <v>11272030.390000002</v>
      </c>
      <c r="H175" s="733">
        <f t="shared" si="58"/>
        <v>11050613.495949382</v>
      </c>
      <c r="I175" s="408">
        <f t="shared" si="56"/>
        <v>221416.8940506205</v>
      </c>
      <c r="J175" s="408">
        <f t="shared" si="57"/>
        <v>2.0036615535579193E-2</v>
      </c>
      <c r="K175" s="735">
        <f>D175</f>
        <v>66303680.975696295</v>
      </c>
      <c r="L175" s="100"/>
    </row>
    <row r="176" spans="1:12" x14ac:dyDescent="0.25">
      <c r="A176" s="695" t="str">
        <f t="shared" si="54"/>
        <v>Sports Grounds and Stadiums</v>
      </c>
      <c r="B176" s="620"/>
      <c r="C176" s="733"/>
      <c r="D176" s="733"/>
      <c r="E176" s="733"/>
      <c r="F176" s="733"/>
      <c r="G176" s="733"/>
      <c r="H176" s="733">
        <f t="shared" si="58"/>
        <v>0</v>
      </c>
      <c r="I176" s="408">
        <f t="shared" si="56"/>
        <v>0</v>
      </c>
      <c r="J176" s="408" t="str">
        <f t="shared" si="57"/>
        <v/>
      </c>
      <c r="K176" s="735"/>
      <c r="L176" s="100"/>
    </row>
    <row r="177" spans="1:12" x14ac:dyDescent="0.25">
      <c r="A177" s="607" t="str">
        <f t="shared" si="54"/>
        <v>Public safety</v>
      </c>
      <c r="B177" s="620"/>
      <c r="C177" s="611">
        <f t="shared" ref="C177:K177" si="59">SUM(C178:C185)</f>
        <v>0</v>
      </c>
      <c r="D177" s="611">
        <f t="shared" si="59"/>
        <v>106871795.2822189</v>
      </c>
      <c r="E177" s="611">
        <f t="shared" si="59"/>
        <v>0</v>
      </c>
      <c r="F177" s="611">
        <f t="shared" si="59"/>
        <v>14658334.779999813</v>
      </c>
      <c r="G177" s="611">
        <f t="shared" si="59"/>
        <v>30081432.789999809</v>
      </c>
      <c r="H177" s="611">
        <f t="shared" si="59"/>
        <v>17811965.880369816</v>
      </c>
      <c r="I177" s="611">
        <f t="shared" si="41"/>
        <v>12269466.909629993</v>
      </c>
      <c r="J177" s="611">
        <f t="shared" si="42"/>
        <v>0.68883283249222416</v>
      </c>
      <c r="K177" s="614">
        <f t="shared" si="59"/>
        <v>106871795.2822189</v>
      </c>
      <c r="L177" s="100"/>
    </row>
    <row r="178" spans="1:12" x14ac:dyDescent="0.25">
      <c r="A178" s="695" t="str">
        <f t="shared" si="54"/>
        <v>Civil Defence</v>
      </c>
      <c r="B178" s="620"/>
      <c r="C178" s="733"/>
      <c r="D178" s="733">
        <v>12197113.976451974</v>
      </c>
      <c r="E178" s="733"/>
      <c r="F178" s="733">
        <v>68492.450000000012</v>
      </c>
      <c r="G178" s="733">
        <v>157427.99000000002</v>
      </c>
      <c r="H178" s="733">
        <f>D178/12*2</f>
        <v>2032852.3294086624</v>
      </c>
      <c r="I178" s="408">
        <f t="shared" si="41"/>
        <v>-1875424.3394086624</v>
      </c>
      <c r="J178" s="408">
        <f t="shared" si="42"/>
        <v>-0.92255807875341622</v>
      </c>
      <c r="K178" s="735">
        <f>D178</f>
        <v>12197113.976451974</v>
      </c>
      <c r="L178" s="100"/>
    </row>
    <row r="179" spans="1:12" x14ac:dyDescent="0.25">
      <c r="A179" s="695" t="str">
        <f t="shared" si="54"/>
        <v>Cleansing</v>
      </c>
      <c r="B179" s="620"/>
      <c r="C179" s="733"/>
      <c r="D179" s="733"/>
      <c r="E179" s="733"/>
      <c r="F179" s="733"/>
      <c r="G179" s="733"/>
      <c r="H179" s="733"/>
      <c r="I179" s="408">
        <f t="shared" si="41"/>
        <v>0</v>
      </c>
      <c r="J179" s="408" t="str">
        <f t="shared" si="42"/>
        <v/>
      </c>
      <c r="K179" s="735"/>
      <c r="L179" s="100"/>
    </row>
    <row r="180" spans="1:12" x14ac:dyDescent="0.25">
      <c r="A180" s="695" t="str">
        <f t="shared" si="54"/>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4"/>
        <v xml:space="preserve">Fencing and Fences </v>
      </c>
      <c r="B181" s="620"/>
      <c r="C181" s="733"/>
      <c r="D181" s="733"/>
      <c r="E181" s="733"/>
      <c r="F181" s="733"/>
      <c r="G181" s="733"/>
      <c r="H181" s="733"/>
      <c r="I181" s="408">
        <f t="shared" si="41"/>
        <v>0</v>
      </c>
      <c r="J181" s="408" t="str">
        <f t="shared" si="42"/>
        <v/>
      </c>
      <c r="K181" s="735"/>
      <c r="L181" s="100"/>
    </row>
    <row r="182" spans="1:12" x14ac:dyDescent="0.25">
      <c r="A182" s="695" t="str">
        <f t="shared" si="54"/>
        <v>Fire Fighting and Protection</v>
      </c>
      <c r="B182" s="620"/>
      <c r="C182" s="733"/>
      <c r="D182" s="733">
        <v>94674681.305766925</v>
      </c>
      <c r="E182" s="733"/>
      <c r="F182" s="733">
        <v>8763072.7299998142</v>
      </c>
      <c r="G182" s="733">
        <v>17753868.379999809</v>
      </c>
      <c r="H182" s="733">
        <f>D182/12*2</f>
        <v>15779113.550961154</v>
      </c>
      <c r="I182" s="408">
        <f t="shared" si="41"/>
        <v>1974754.8290386554</v>
      </c>
      <c r="J182" s="408">
        <f t="shared" si="42"/>
        <v>0.12514992193071373</v>
      </c>
      <c r="K182" s="735">
        <f>D182</f>
        <v>94674681.305766925</v>
      </c>
      <c r="L182" s="100"/>
    </row>
    <row r="183" spans="1:12" x14ac:dyDescent="0.25">
      <c r="A183" s="695" t="str">
        <f t="shared" si="54"/>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4"/>
        <v>Police Forces, Traffic and Street Parking Control</v>
      </c>
      <c r="B184" s="620"/>
      <c r="C184" s="733"/>
      <c r="D184" s="733"/>
      <c r="E184" s="733"/>
      <c r="F184" s="733">
        <v>5826769.5999999996</v>
      </c>
      <c r="G184" s="733">
        <v>12170136.420000002</v>
      </c>
      <c r="H184" s="733"/>
      <c r="I184" s="408">
        <f>G184-H184</f>
        <v>12170136.420000002</v>
      </c>
      <c r="J184" s="408" t="e">
        <f>IF(I184=0,"",I184/H184)</f>
        <v>#DIV/0!</v>
      </c>
      <c r="K184" s="735"/>
      <c r="L184" s="100"/>
    </row>
    <row r="185" spans="1:12" x14ac:dyDescent="0.25">
      <c r="A185" s="695" t="str">
        <f t="shared" si="54"/>
        <v>Pounds</v>
      </c>
      <c r="B185" s="620"/>
      <c r="C185" s="733"/>
      <c r="D185" s="733"/>
      <c r="E185" s="733"/>
      <c r="F185" s="733"/>
      <c r="G185" s="733"/>
      <c r="H185" s="733"/>
      <c r="I185" s="408">
        <f t="shared" si="41"/>
        <v>0</v>
      </c>
      <c r="J185" s="408" t="str">
        <f t="shared" si="42"/>
        <v/>
      </c>
      <c r="K185" s="735"/>
      <c r="L185" s="100"/>
    </row>
    <row r="186" spans="1:12" x14ac:dyDescent="0.25">
      <c r="A186" s="607" t="str">
        <f t="shared" si="54"/>
        <v>Housing</v>
      </c>
      <c r="B186" s="620"/>
      <c r="C186" s="611">
        <f t="shared" ref="C186:H186" si="60">SUM(C187:C188)</f>
        <v>0</v>
      </c>
      <c r="D186" s="611">
        <f t="shared" si="60"/>
        <v>90129848.361797929</v>
      </c>
      <c r="E186" s="611">
        <f t="shared" si="60"/>
        <v>0</v>
      </c>
      <c r="F186" s="611">
        <f t="shared" si="60"/>
        <v>5297245.34</v>
      </c>
      <c r="G186" s="611">
        <f t="shared" si="60"/>
        <v>10859451.080000002</v>
      </c>
      <c r="H186" s="611">
        <f t="shared" si="60"/>
        <v>15021641.393632988</v>
      </c>
      <c r="I186" s="611">
        <f>G186-H186</f>
        <v>-4162190.3136329856</v>
      </c>
      <c r="J186" s="611">
        <f>IF(I186=0,"",I186/H186)</f>
        <v>-0.27707959500332335</v>
      </c>
      <c r="K186" s="611">
        <f>SUM(K187:K188)</f>
        <v>90129848.361797929</v>
      </c>
      <c r="L186" s="100"/>
    </row>
    <row r="187" spans="1:12" x14ac:dyDescent="0.25">
      <c r="A187" s="695" t="str">
        <f t="shared" si="54"/>
        <v>Housing</v>
      </c>
      <c r="B187" s="620"/>
      <c r="C187" s="733"/>
      <c r="D187" s="733">
        <v>90129848.361797929</v>
      </c>
      <c r="E187" s="733"/>
      <c r="F187" s="733">
        <v>5297245.34</v>
      </c>
      <c r="G187" s="733">
        <v>10859451.080000002</v>
      </c>
      <c r="H187" s="733">
        <f>D187/12*2</f>
        <v>15021641.393632988</v>
      </c>
      <c r="I187" s="408">
        <f>G187-H187</f>
        <v>-4162190.3136329856</v>
      </c>
      <c r="J187" s="408">
        <f>IF(I187=0,"",I187/H187)</f>
        <v>-0.27707959500332335</v>
      </c>
      <c r="K187" s="735">
        <f>D187</f>
        <v>90129848.361797929</v>
      </c>
      <c r="L187" s="100"/>
    </row>
    <row r="188" spans="1:12" x14ac:dyDescent="0.25">
      <c r="A188" s="695" t="str">
        <f t="shared" si="54"/>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4"/>
        <v>Health</v>
      </c>
      <c r="B189" s="620"/>
      <c r="C189" s="611">
        <f t="shared" ref="C189:K189" si="61">SUM(C190:C196)</f>
        <v>0</v>
      </c>
      <c r="D189" s="611">
        <f t="shared" si="61"/>
        <v>273885.02793777513</v>
      </c>
      <c r="E189" s="611">
        <f t="shared" si="61"/>
        <v>0</v>
      </c>
      <c r="F189" s="611">
        <f t="shared" si="61"/>
        <v>768122.76999999979</v>
      </c>
      <c r="G189" s="611">
        <f t="shared" si="61"/>
        <v>1492934.39</v>
      </c>
      <c r="H189" s="611">
        <f t="shared" si="61"/>
        <v>45647.504656295852</v>
      </c>
      <c r="I189" s="611">
        <f t="shared" si="41"/>
        <v>1447286.8853437041</v>
      </c>
      <c r="J189" s="611">
        <f t="shared" si="42"/>
        <v>31.705717459061361</v>
      </c>
      <c r="K189" s="614">
        <f t="shared" si="61"/>
        <v>273885.02793777513</v>
      </c>
      <c r="L189" s="100"/>
    </row>
    <row r="190" spans="1:12" x14ac:dyDescent="0.25">
      <c r="A190" s="695" t="str">
        <f t="shared" si="54"/>
        <v>Ambulance</v>
      </c>
      <c r="B190" s="620"/>
      <c r="C190" s="733"/>
      <c r="D190" s="733"/>
      <c r="E190" s="733"/>
      <c r="F190" s="733"/>
      <c r="G190" s="733"/>
      <c r="H190" s="733"/>
      <c r="I190" s="408">
        <f t="shared" si="41"/>
        <v>0</v>
      </c>
      <c r="J190" s="408" t="str">
        <f t="shared" si="42"/>
        <v/>
      </c>
      <c r="K190" s="735"/>
      <c r="L190" s="100"/>
    </row>
    <row r="191" spans="1:12" x14ac:dyDescent="0.25">
      <c r="A191" s="695" t="str">
        <f t="shared" si="54"/>
        <v>Health Services</v>
      </c>
      <c r="B191" s="620"/>
      <c r="C191" s="733"/>
      <c r="D191" s="733">
        <v>273885.02793777513</v>
      </c>
      <c r="E191" s="733"/>
      <c r="F191" s="733">
        <v>768122.76999999979</v>
      </c>
      <c r="G191" s="733">
        <v>1492934.39</v>
      </c>
      <c r="H191" s="733">
        <f>D191/12*2</f>
        <v>45647.504656295852</v>
      </c>
      <c r="I191" s="408">
        <f t="shared" si="41"/>
        <v>1447286.8853437041</v>
      </c>
      <c r="J191" s="408">
        <f t="shared" si="42"/>
        <v>31.705717459061361</v>
      </c>
      <c r="K191" s="735">
        <f>D191</f>
        <v>273885.02793777513</v>
      </c>
      <c r="L191" s="100"/>
    </row>
    <row r="192" spans="1:12" x14ac:dyDescent="0.25">
      <c r="A192" s="695" t="str">
        <f t="shared" ref="A192:A223" si="62">A70</f>
        <v>Laboratory Services</v>
      </c>
      <c r="B192" s="620"/>
      <c r="C192" s="733"/>
      <c r="D192" s="733"/>
      <c r="E192" s="733"/>
      <c r="F192" s="733"/>
      <c r="G192" s="733"/>
      <c r="H192" s="733"/>
      <c r="I192" s="408">
        <f t="shared" si="41"/>
        <v>0</v>
      </c>
      <c r="J192" s="408" t="str">
        <f t="shared" si="42"/>
        <v/>
      </c>
      <c r="K192" s="735"/>
      <c r="L192" s="100"/>
    </row>
    <row r="193" spans="1:12" x14ac:dyDescent="0.25">
      <c r="A193" s="695" t="str">
        <f t="shared" si="62"/>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2"/>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2"/>
        <v>Vector Control</v>
      </c>
      <c r="B195" s="620"/>
      <c r="C195" s="733"/>
      <c r="D195" s="733"/>
      <c r="E195" s="733"/>
      <c r="F195" s="733"/>
      <c r="G195" s="733"/>
      <c r="H195" s="733"/>
      <c r="I195" s="408">
        <f t="shared" si="41"/>
        <v>0</v>
      </c>
      <c r="J195" s="408" t="str">
        <f t="shared" si="42"/>
        <v/>
      </c>
      <c r="K195" s="735"/>
      <c r="L195" s="100"/>
    </row>
    <row r="196" spans="1:12" x14ac:dyDescent="0.25">
      <c r="A196" s="695" t="str">
        <f t="shared" si="62"/>
        <v>Chemical Safety</v>
      </c>
      <c r="B196" s="620"/>
      <c r="C196" s="733"/>
      <c r="D196" s="733"/>
      <c r="E196" s="733"/>
      <c r="F196" s="733"/>
      <c r="G196" s="733"/>
      <c r="H196" s="733"/>
      <c r="I196" s="408">
        <f t="shared" si="41"/>
        <v>0</v>
      </c>
      <c r="J196" s="408" t="str">
        <f t="shared" si="42"/>
        <v/>
      </c>
      <c r="K196" s="735"/>
      <c r="L196" s="100"/>
    </row>
    <row r="197" spans="1:12" x14ac:dyDescent="0.25">
      <c r="A197" s="414" t="str">
        <f t="shared" si="62"/>
        <v>Economic and environmental services</v>
      </c>
      <c r="B197" s="620"/>
      <c r="C197" s="605">
        <f t="shared" ref="C197:H197" si="63">C198+C209+C214</f>
        <v>0</v>
      </c>
      <c r="D197" s="605">
        <f t="shared" si="63"/>
        <v>288173315.58344549</v>
      </c>
      <c r="E197" s="605">
        <f t="shared" si="63"/>
        <v>0</v>
      </c>
      <c r="F197" s="605">
        <f t="shared" si="63"/>
        <v>23599199.599999994</v>
      </c>
      <c r="G197" s="605">
        <f t="shared" si="63"/>
        <v>47279818.37999998</v>
      </c>
      <c r="H197" s="605">
        <f t="shared" si="63"/>
        <v>48028885.930574246</v>
      </c>
      <c r="I197" s="605">
        <f t="shared" si="41"/>
        <v>-749067.55057426542</v>
      </c>
      <c r="J197" s="605">
        <f t="shared" si="42"/>
        <v>-1.5596188336682274E-2</v>
      </c>
      <c r="K197" s="606">
        <f>K198+K209+K214</f>
        <v>288173315.58344549</v>
      </c>
      <c r="L197" s="100"/>
    </row>
    <row r="198" spans="1:12" x14ac:dyDescent="0.25">
      <c r="A198" s="607" t="str">
        <f t="shared" si="62"/>
        <v>Planning and development</v>
      </c>
      <c r="B198" s="620"/>
      <c r="C198" s="611">
        <f t="shared" ref="C198:K198" si="64">SUM(C199:C208)</f>
        <v>0</v>
      </c>
      <c r="D198" s="611">
        <f t="shared" si="64"/>
        <v>92239503.875528902</v>
      </c>
      <c r="E198" s="611">
        <f t="shared" si="64"/>
        <v>0</v>
      </c>
      <c r="F198" s="611">
        <f t="shared" si="64"/>
        <v>4875131.870000001</v>
      </c>
      <c r="G198" s="611">
        <f t="shared" si="64"/>
        <v>9714751.9499999993</v>
      </c>
      <c r="H198" s="611">
        <f t="shared" si="64"/>
        <v>15373250.645921482</v>
      </c>
      <c r="I198" s="611">
        <f t="shared" si="41"/>
        <v>-5658498.6959214825</v>
      </c>
      <c r="J198" s="611">
        <f t="shared" si="42"/>
        <v>-0.36807431468130525</v>
      </c>
      <c r="K198" s="614">
        <f t="shared" si="64"/>
        <v>92239503.875528902</v>
      </c>
      <c r="L198" s="100"/>
    </row>
    <row r="199" spans="1:12" x14ac:dyDescent="0.25">
      <c r="A199" s="695" t="str">
        <f t="shared" si="62"/>
        <v>Billboards</v>
      </c>
      <c r="B199" s="620"/>
      <c r="C199" s="733"/>
      <c r="D199" s="733"/>
      <c r="E199" s="733"/>
      <c r="F199" s="733"/>
      <c r="G199" s="733"/>
      <c r="H199" s="733">
        <f t="shared" ref="H199:H208" si="65">D199/12*2</f>
        <v>0</v>
      </c>
      <c r="I199" s="408">
        <f t="shared" si="41"/>
        <v>0</v>
      </c>
      <c r="J199" s="408" t="str">
        <f t="shared" si="42"/>
        <v/>
      </c>
      <c r="K199" s="735"/>
      <c r="L199" s="100"/>
    </row>
    <row r="200" spans="1:12" ht="22.5" x14ac:dyDescent="0.25">
      <c r="A200" s="695" t="str">
        <f t="shared" si="62"/>
        <v>Corporate Wide Strategic Planning (IDPs, LEDs)</v>
      </c>
      <c r="B200" s="620"/>
      <c r="C200" s="733"/>
      <c r="D200" s="733">
        <v>12848610.792359998</v>
      </c>
      <c r="E200" s="733"/>
      <c r="F200" s="733">
        <v>426761.12000000005</v>
      </c>
      <c r="G200" s="733">
        <v>845769.05000000016</v>
      </c>
      <c r="H200" s="733">
        <f t="shared" si="65"/>
        <v>2141435.1320599997</v>
      </c>
      <c r="I200" s="408">
        <f t="shared" si="41"/>
        <v>-1295666.0820599995</v>
      </c>
      <c r="J200" s="408">
        <f t="shared" si="42"/>
        <v>-0.60504568299185668</v>
      </c>
      <c r="K200" s="735">
        <f>D200</f>
        <v>12848610.792359998</v>
      </c>
      <c r="L200" s="100"/>
    </row>
    <row r="201" spans="1:12" x14ac:dyDescent="0.25">
      <c r="A201" s="695" t="str">
        <f t="shared" si="62"/>
        <v>Central City Improvement District</v>
      </c>
      <c r="B201" s="620"/>
      <c r="C201" s="733"/>
      <c r="D201" s="733"/>
      <c r="E201" s="733"/>
      <c r="F201" s="733"/>
      <c r="G201" s="733"/>
      <c r="H201" s="733">
        <f t="shared" si="65"/>
        <v>0</v>
      </c>
      <c r="I201" s="408">
        <f t="shared" si="41"/>
        <v>0</v>
      </c>
      <c r="J201" s="408" t="str">
        <f t="shared" si="42"/>
        <v/>
      </c>
      <c r="K201" s="735"/>
      <c r="L201" s="100"/>
    </row>
    <row r="202" spans="1:12" x14ac:dyDescent="0.25">
      <c r="A202" s="695" t="str">
        <f t="shared" si="62"/>
        <v>Development Facilitation</v>
      </c>
      <c r="B202" s="620"/>
      <c r="C202" s="733"/>
      <c r="D202" s="733"/>
      <c r="E202" s="733"/>
      <c r="F202" s="733"/>
      <c r="G202" s="733"/>
      <c r="H202" s="733">
        <f t="shared" si="65"/>
        <v>0</v>
      </c>
      <c r="I202" s="408">
        <f>G202-H202</f>
        <v>0</v>
      </c>
      <c r="J202" s="408" t="str">
        <f>IF(I202=0,"",I202/H202)</f>
        <v/>
      </c>
      <c r="K202" s="735"/>
      <c r="L202" s="100"/>
    </row>
    <row r="203" spans="1:12" x14ac:dyDescent="0.25">
      <c r="A203" s="695" t="str">
        <f t="shared" si="62"/>
        <v>Economic Development/Planning</v>
      </c>
      <c r="B203" s="620"/>
      <c r="C203" s="733"/>
      <c r="D203" s="733">
        <v>12958288.606480801</v>
      </c>
      <c r="E203" s="733"/>
      <c r="F203" s="733">
        <v>796556.03</v>
      </c>
      <c r="G203" s="733">
        <v>1330346.3599999996</v>
      </c>
      <c r="H203" s="733">
        <f t="shared" si="65"/>
        <v>2159714.7677468001</v>
      </c>
      <c r="I203" s="408">
        <f>G203-H203</f>
        <v>-829368.40774680045</v>
      </c>
      <c r="J203" s="408">
        <f>IF(I203=0,"",I203/H203)</f>
        <v>-0.38401756571404511</v>
      </c>
      <c r="K203" s="735">
        <f>D203</f>
        <v>12958288.606480801</v>
      </c>
      <c r="L203" s="100"/>
    </row>
    <row r="204" spans="1:12" x14ac:dyDescent="0.25">
      <c r="A204" s="695" t="str">
        <f t="shared" si="62"/>
        <v>Regional Planning and Development</v>
      </c>
      <c r="B204" s="620"/>
      <c r="C204" s="733"/>
      <c r="D204" s="733"/>
      <c r="E204" s="733"/>
      <c r="F204" s="733"/>
      <c r="G204" s="733"/>
      <c r="H204" s="733">
        <f t="shared" si="65"/>
        <v>0</v>
      </c>
      <c r="I204" s="408">
        <f>G204-H204</f>
        <v>0</v>
      </c>
      <c r="J204" s="408" t="str">
        <f>IF(I204=0,"",I204/H204)</f>
        <v/>
      </c>
      <c r="K204" s="735"/>
      <c r="L204" s="100"/>
    </row>
    <row r="205" spans="1:12" ht="22.5" x14ac:dyDescent="0.25">
      <c r="A205" s="695" t="str">
        <f t="shared" si="62"/>
        <v>Town Planning, Building Regulations and Enforcement, and City Engineer</v>
      </c>
      <c r="B205" s="620"/>
      <c r="C205" s="733"/>
      <c r="D205" s="733">
        <v>66432604.476688094</v>
      </c>
      <c r="E205" s="733"/>
      <c r="F205" s="733">
        <v>3651814.7200000007</v>
      </c>
      <c r="G205" s="733">
        <v>7538636.5399999991</v>
      </c>
      <c r="H205" s="733">
        <f t="shared" si="65"/>
        <v>11072100.746114682</v>
      </c>
      <c r="I205" s="408">
        <f>G205-H205</f>
        <v>-3533464.2061146833</v>
      </c>
      <c r="J205" s="408">
        <f>IF(I205=0,"",I205/H205)</f>
        <v>-0.31913223038135863</v>
      </c>
      <c r="K205" s="735">
        <f>D205</f>
        <v>66432604.476688094</v>
      </c>
      <c r="L205" s="100"/>
    </row>
    <row r="206" spans="1:12" x14ac:dyDescent="0.25">
      <c r="A206" s="695" t="str">
        <f t="shared" si="62"/>
        <v>Project Management Unit</v>
      </c>
      <c r="B206" s="620"/>
      <c r="C206" s="733"/>
      <c r="D206" s="733"/>
      <c r="E206" s="733"/>
      <c r="F206" s="733"/>
      <c r="G206" s="733"/>
      <c r="H206" s="733">
        <f t="shared" si="65"/>
        <v>0</v>
      </c>
      <c r="I206" s="408">
        <f>G206-H206</f>
        <v>0</v>
      </c>
      <c r="J206" s="408" t="str">
        <f>IF(I206=0,"",I206/H206)</f>
        <v/>
      </c>
      <c r="K206" s="735"/>
      <c r="L206" s="100"/>
    </row>
    <row r="207" spans="1:12" x14ac:dyDescent="0.25">
      <c r="A207" s="695" t="str">
        <f t="shared" si="62"/>
        <v>Provincial Planning</v>
      </c>
      <c r="B207" s="620"/>
      <c r="C207" s="733"/>
      <c r="D207" s="733"/>
      <c r="E207" s="733"/>
      <c r="F207" s="733"/>
      <c r="G207" s="733"/>
      <c r="H207" s="733">
        <f t="shared" si="65"/>
        <v>0</v>
      </c>
      <c r="I207" s="408">
        <f t="shared" si="41"/>
        <v>0</v>
      </c>
      <c r="J207" s="408" t="str">
        <f t="shared" si="42"/>
        <v/>
      </c>
      <c r="K207" s="735"/>
      <c r="L207" s="100"/>
    </row>
    <row r="208" spans="1:12" x14ac:dyDescent="0.25">
      <c r="A208" s="695" t="str">
        <f t="shared" si="62"/>
        <v>Support to Local Municipalities</v>
      </c>
      <c r="B208" s="620"/>
      <c r="C208" s="733"/>
      <c r="D208" s="733"/>
      <c r="E208" s="733"/>
      <c r="F208" s="733"/>
      <c r="G208" s="733"/>
      <c r="H208" s="733">
        <f t="shared" si="65"/>
        <v>0</v>
      </c>
      <c r="I208" s="408">
        <f t="shared" si="41"/>
        <v>0</v>
      </c>
      <c r="J208" s="408" t="str">
        <f t="shared" si="42"/>
        <v/>
      </c>
      <c r="K208" s="735"/>
      <c r="L208" s="100"/>
    </row>
    <row r="209" spans="1:12" x14ac:dyDescent="0.25">
      <c r="A209" s="607" t="str">
        <f t="shared" si="62"/>
        <v>Road transport</v>
      </c>
      <c r="B209" s="620"/>
      <c r="C209" s="611">
        <f t="shared" ref="C209:H209" si="66">SUM(C210:C213)</f>
        <v>0</v>
      </c>
      <c r="D209" s="611">
        <f t="shared" si="66"/>
        <v>171068986.74871668</v>
      </c>
      <c r="E209" s="611">
        <f t="shared" si="66"/>
        <v>0</v>
      </c>
      <c r="F209" s="611">
        <f t="shared" si="66"/>
        <v>17085437.099999994</v>
      </c>
      <c r="G209" s="611">
        <f t="shared" si="66"/>
        <v>34328818.129999988</v>
      </c>
      <c r="H209" s="611">
        <f t="shared" si="66"/>
        <v>28511497.79145278</v>
      </c>
      <c r="I209" s="611">
        <f t="shared" si="41"/>
        <v>5817320.3385472074</v>
      </c>
      <c r="J209" s="611">
        <f t="shared" si="42"/>
        <v>0.20403418933294806</v>
      </c>
      <c r="K209" s="614">
        <f>SUM(K210:K213)</f>
        <v>171068986.74871668</v>
      </c>
      <c r="L209" s="100"/>
    </row>
    <row r="210" spans="1:12" x14ac:dyDescent="0.25">
      <c r="A210" s="695" t="str">
        <f t="shared" si="62"/>
        <v>Public Transport</v>
      </c>
      <c r="B210" s="620"/>
      <c r="C210" s="733"/>
      <c r="D210" s="733">
        <v>6112737.5899952119</v>
      </c>
      <c r="E210" s="733"/>
      <c r="F210" s="733">
        <v>502126.79</v>
      </c>
      <c r="G210" s="733">
        <v>1074671.6599999999</v>
      </c>
      <c r="H210" s="733">
        <f t="shared" ref="H210:H213" si="67">D210/12*2</f>
        <v>1018789.5983325354</v>
      </c>
      <c r="I210" s="408">
        <f t="shared" si="41"/>
        <v>55882.061667464557</v>
      </c>
      <c r="J210" s="408">
        <f t="shared" si="42"/>
        <v>5.4851425415932173E-2</v>
      </c>
      <c r="K210" s="735">
        <f>D210</f>
        <v>6112737.5899952119</v>
      </c>
      <c r="L210" s="100"/>
    </row>
    <row r="211" spans="1:12" x14ac:dyDescent="0.25">
      <c r="A211" s="695" t="str">
        <f t="shared" si="62"/>
        <v>Road and Traffic Regulation</v>
      </c>
      <c r="B211" s="620"/>
      <c r="C211" s="733"/>
      <c r="D211" s="733">
        <v>75071897.514813796</v>
      </c>
      <c r="E211" s="733"/>
      <c r="F211" s="733"/>
      <c r="G211" s="733"/>
      <c r="H211" s="733">
        <f t="shared" si="67"/>
        <v>12511982.919135632</v>
      </c>
      <c r="I211" s="408">
        <f>G211-H211</f>
        <v>-12511982.919135632</v>
      </c>
      <c r="J211" s="408">
        <f>IF(I211=0,"",I211/H211)</f>
        <v>-1</v>
      </c>
      <c r="K211" s="735">
        <f>D211</f>
        <v>75071897.514813796</v>
      </c>
      <c r="L211" s="100"/>
    </row>
    <row r="212" spans="1:12" x14ac:dyDescent="0.25">
      <c r="A212" s="695" t="str">
        <f t="shared" si="62"/>
        <v>Roads</v>
      </c>
      <c r="B212" s="620"/>
      <c r="C212" s="733"/>
      <c r="D212" s="733">
        <v>86766270.60115768</v>
      </c>
      <c r="E212" s="733"/>
      <c r="F212" s="733">
        <v>16494940.949999996</v>
      </c>
      <c r="G212" s="733">
        <v>33077407.749999993</v>
      </c>
      <c r="H212" s="733">
        <f t="shared" si="67"/>
        <v>14461045.100192947</v>
      </c>
      <c r="I212" s="408">
        <f t="shared" si="41"/>
        <v>18616362.649807043</v>
      </c>
      <c r="J212" s="408">
        <f t="shared" si="42"/>
        <v>1.2873455909185052</v>
      </c>
      <c r="K212" s="735">
        <f>D212</f>
        <v>86766270.60115768</v>
      </c>
      <c r="L212" s="100"/>
    </row>
    <row r="213" spans="1:12" x14ac:dyDescent="0.25">
      <c r="A213" s="695" t="str">
        <f t="shared" si="62"/>
        <v>Taxi Ranks</v>
      </c>
      <c r="B213" s="620"/>
      <c r="C213" s="733"/>
      <c r="D213" s="733">
        <v>3118081.04275</v>
      </c>
      <c r="E213" s="733"/>
      <c r="F213" s="733">
        <v>88369.36</v>
      </c>
      <c r="G213" s="733">
        <v>176738.72000000003</v>
      </c>
      <c r="H213" s="733">
        <f t="shared" si="67"/>
        <v>519680.17379166669</v>
      </c>
      <c r="I213" s="408">
        <f t="shared" si="41"/>
        <v>-342941.45379166666</v>
      </c>
      <c r="J213" s="408">
        <f t="shared" si="42"/>
        <v>-0.65990867284682597</v>
      </c>
      <c r="K213" s="735">
        <f>D213</f>
        <v>3118081.04275</v>
      </c>
      <c r="L213" s="100"/>
    </row>
    <row r="214" spans="1:12" x14ac:dyDescent="0.25">
      <c r="A214" s="607" t="str">
        <f t="shared" si="62"/>
        <v>Environmental protection</v>
      </c>
      <c r="B214" s="620"/>
      <c r="C214" s="611">
        <f t="shared" ref="C214:K214" si="68">SUM(C215:C220)</f>
        <v>0</v>
      </c>
      <c r="D214" s="611">
        <f t="shared" si="68"/>
        <v>24864824.959199883</v>
      </c>
      <c r="E214" s="611">
        <f t="shared" si="68"/>
        <v>0</v>
      </c>
      <c r="F214" s="611">
        <f t="shared" si="68"/>
        <v>1638630.63</v>
      </c>
      <c r="G214" s="611">
        <f t="shared" si="68"/>
        <v>3236248.3</v>
      </c>
      <c r="H214" s="611">
        <f t="shared" si="68"/>
        <v>4144137.4931999808</v>
      </c>
      <c r="I214" s="611">
        <f t="shared" si="41"/>
        <v>-907889.193199981</v>
      </c>
      <c r="J214" s="611">
        <f t="shared" si="42"/>
        <v>-0.21907796126207574</v>
      </c>
      <c r="K214" s="614">
        <f t="shared" si="68"/>
        <v>24864824.959199883</v>
      </c>
      <c r="L214" s="100"/>
    </row>
    <row r="215" spans="1:12" x14ac:dyDescent="0.25">
      <c r="A215" s="695" t="str">
        <f t="shared" si="62"/>
        <v>Biodiversity and Landscape</v>
      </c>
      <c r="B215" s="620"/>
      <c r="C215" s="733"/>
      <c r="D215" s="733"/>
      <c r="E215" s="733"/>
      <c r="F215" s="733"/>
      <c r="G215" s="733"/>
      <c r="H215" s="733">
        <f t="shared" ref="H215:H220" si="69">D215/12*2</f>
        <v>0</v>
      </c>
      <c r="I215" s="408">
        <f t="shared" si="41"/>
        <v>0</v>
      </c>
      <c r="J215" s="408" t="str">
        <f t="shared" si="42"/>
        <v/>
      </c>
      <c r="K215" s="735"/>
      <c r="L215" s="100"/>
    </row>
    <row r="216" spans="1:12" x14ac:dyDescent="0.25">
      <c r="A216" s="695" t="str">
        <f t="shared" si="62"/>
        <v>Coastal Protection</v>
      </c>
      <c r="B216" s="620"/>
      <c r="C216" s="733"/>
      <c r="D216" s="733"/>
      <c r="E216" s="733"/>
      <c r="F216" s="733"/>
      <c r="G216" s="733"/>
      <c r="H216" s="733">
        <f t="shared" si="69"/>
        <v>0</v>
      </c>
      <c r="I216" s="408">
        <f t="shared" si="41"/>
        <v>0</v>
      </c>
      <c r="J216" s="408" t="str">
        <f t="shared" si="42"/>
        <v/>
      </c>
      <c r="K216" s="735"/>
      <c r="L216" s="100"/>
    </row>
    <row r="217" spans="1:12" x14ac:dyDescent="0.25">
      <c r="A217" s="695" t="str">
        <f t="shared" si="62"/>
        <v>Indigenous Forests</v>
      </c>
      <c r="B217" s="620"/>
      <c r="C217" s="733"/>
      <c r="D217" s="733"/>
      <c r="E217" s="733"/>
      <c r="F217" s="733"/>
      <c r="G217" s="733"/>
      <c r="H217" s="733">
        <f t="shared" si="69"/>
        <v>0</v>
      </c>
      <c r="I217" s="408">
        <f t="shared" si="41"/>
        <v>0</v>
      </c>
      <c r="J217" s="408" t="str">
        <f t="shared" si="42"/>
        <v/>
      </c>
      <c r="K217" s="735"/>
      <c r="L217" s="100"/>
    </row>
    <row r="218" spans="1:12" x14ac:dyDescent="0.25">
      <c r="A218" s="695" t="str">
        <f t="shared" si="62"/>
        <v>Nature Conservation</v>
      </c>
      <c r="B218" s="620"/>
      <c r="C218" s="733"/>
      <c r="D218" s="733">
        <v>7953351.9763347059</v>
      </c>
      <c r="E218" s="733"/>
      <c r="F218" s="733">
        <v>324284.7</v>
      </c>
      <c r="G218" s="733">
        <v>621848.69999999995</v>
      </c>
      <c r="H218" s="733">
        <f t="shared" si="69"/>
        <v>1325558.6627224509</v>
      </c>
      <c r="I218" s="408">
        <f>G218-H218</f>
        <v>-703709.96272245096</v>
      </c>
      <c r="J218" s="408">
        <f>IF(I218=0,"",I218/H218)</f>
        <v>-0.53087802336651146</v>
      </c>
      <c r="K218" s="735">
        <f>D218</f>
        <v>7953351.9763347059</v>
      </c>
      <c r="L218" s="100"/>
    </row>
    <row r="219" spans="1:12" x14ac:dyDescent="0.25">
      <c r="A219" s="695" t="str">
        <f t="shared" si="62"/>
        <v>Pollution Control</v>
      </c>
      <c r="B219" s="620"/>
      <c r="C219" s="733"/>
      <c r="D219" s="733">
        <v>16911472.982865177</v>
      </c>
      <c r="E219" s="733"/>
      <c r="F219" s="733">
        <v>1314345.93</v>
      </c>
      <c r="G219" s="733">
        <v>2614399.5999999996</v>
      </c>
      <c r="H219" s="733">
        <f t="shared" si="69"/>
        <v>2818578.8304775297</v>
      </c>
      <c r="I219" s="408">
        <f>G219-H219</f>
        <v>-204179.23047753004</v>
      </c>
      <c r="J219" s="408">
        <f>IF(I219=0,"",I219/H219)</f>
        <v>-7.2440489607643002E-2</v>
      </c>
      <c r="K219" s="735">
        <f>D219</f>
        <v>16911472.982865177</v>
      </c>
      <c r="L219" s="100"/>
    </row>
    <row r="220" spans="1:12" x14ac:dyDescent="0.25">
      <c r="A220" s="695" t="str">
        <f t="shared" si="62"/>
        <v>Soil Conservation</v>
      </c>
      <c r="B220" s="620"/>
      <c r="C220" s="733"/>
      <c r="D220" s="733">
        <v>0</v>
      </c>
      <c r="E220" s="733"/>
      <c r="F220" s="733"/>
      <c r="G220" s="733"/>
      <c r="H220" s="733">
        <f t="shared" si="69"/>
        <v>0</v>
      </c>
      <c r="I220" s="408">
        <f t="shared" si="41"/>
        <v>0</v>
      </c>
      <c r="J220" s="408" t="str">
        <f t="shared" si="42"/>
        <v/>
      </c>
      <c r="K220" s="735"/>
      <c r="L220" s="100"/>
    </row>
    <row r="221" spans="1:12" x14ac:dyDescent="0.25">
      <c r="A221" s="414" t="str">
        <f t="shared" si="62"/>
        <v>Trading services</v>
      </c>
      <c r="B221" s="620"/>
      <c r="C221" s="605">
        <f>C222+C226+C230+C235</f>
        <v>0</v>
      </c>
      <c r="D221" s="605">
        <f t="shared" ref="D221:I221" si="70">D222+D226+D230+D235</f>
        <v>3353046546.6774907</v>
      </c>
      <c r="E221" s="605">
        <f t="shared" si="70"/>
        <v>0</v>
      </c>
      <c r="F221" s="605">
        <f t="shared" si="70"/>
        <v>433027170.21000016</v>
      </c>
      <c r="G221" s="605">
        <f t="shared" si="70"/>
        <v>469193548.84000003</v>
      </c>
      <c r="H221" s="605">
        <f t="shared" si="70"/>
        <v>558841091.11291504</v>
      </c>
      <c r="I221" s="605">
        <f t="shared" si="70"/>
        <v>-89647542.272914976</v>
      </c>
      <c r="J221" s="605">
        <f t="shared" si="42"/>
        <v>-0.16041687645835889</v>
      </c>
      <c r="K221" s="606">
        <f>K222+K226+K230+K235</f>
        <v>3353046546.6774907</v>
      </c>
      <c r="L221" s="100"/>
    </row>
    <row r="222" spans="1:12" x14ac:dyDescent="0.25">
      <c r="A222" s="607" t="str">
        <f t="shared" si="62"/>
        <v>Energy sources</v>
      </c>
      <c r="B222" s="620"/>
      <c r="C222" s="611">
        <f t="shared" ref="C222:K222" si="71">SUM(C223:C225)</f>
        <v>0</v>
      </c>
      <c r="D222" s="611">
        <f t="shared" si="71"/>
        <v>2291332272.7237678</v>
      </c>
      <c r="E222" s="611">
        <f t="shared" si="71"/>
        <v>0</v>
      </c>
      <c r="F222" s="611">
        <f t="shared" si="71"/>
        <v>270318186.39000016</v>
      </c>
      <c r="G222" s="611">
        <f t="shared" si="71"/>
        <v>282488831.07000005</v>
      </c>
      <c r="H222" s="611">
        <f t="shared" si="71"/>
        <v>381888712.12062794</v>
      </c>
      <c r="I222" s="611">
        <f t="shared" si="41"/>
        <v>-99399881.050627887</v>
      </c>
      <c r="J222" s="611">
        <f t="shared" si="42"/>
        <v>-0.2602849413868778</v>
      </c>
      <c r="K222" s="614">
        <f t="shared" si="71"/>
        <v>2291332272.7237678</v>
      </c>
      <c r="L222" s="100"/>
    </row>
    <row r="223" spans="1:12" x14ac:dyDescent="0.25">
      <c r="A223" s="695" t="str">
        <f t="shared" si="62"/>
        <v xml:space="preserve">Electricity </v>
      </c>
      <c r="B223" s="620"/>
      <c r="C223" s="733"/>
      <c r="D223" s="733">
        <v>2270836245.4232864</v>
      </c>
      <c r="E223" s="733"/>
      <c r="F223" s="733">
        <v>268145059.63000014</v>
      </c>
      <c r="G223" s="733">
        <v>279674617.17000008</v>
      </c>
      <c r="H223" s="733">
        <f t="shared" ref="H223:H225" si="72">D223/12*2</f>
        <v>378472707.57054776</v>
      </c>
      <c r="I223" s="408">
        <f t="shared" si="41"/>
        <v>-98798090.400547683</v>
      </c>
      <c r="J223" s="408">
        <f t="shared" si="42"/>
        <v>-0.26104416097726574</v>
      </c>
      <c r="K223" s="735">
        <f>D223</f>
        <v>2270836245.4232864</v>
      </c>
      <c r="L223" s="100"/>
    </row>
    <row r="224" spans="1:12" x14ac:dyDescent="0.25">
      <c r="A224" s="695" t="str">
        <f t="shared" ref="A224:A246" si="73">A102</f>
        <v>Street Lighting and Signal Systems</v>
      </c>
      <c r="B224" s="620"/>
      <c r="C224" s="733"/>
      <c r="D224" s="733">
        <v>20496027.300481234</v>
      </c>
      <c r="E224" s="733"/>
      <c r="F224" s="733">
        <v>2173126.7600000002</v>
      </c>
      <c r="G224" s="733">
        <v>2814213.9000000004</v>
      </c>
      <c r="H224" s="733">
        <f t="shared" si="72"/>
        <v>3416004.5500802058</v>
      </c>
      <c r="I224" s="408">
        <f>G224-H224</f>
        <v>-601790.65008020541</v>
      </c>
      <c r="J224" s="408">
        <f>IF(I224=0,"",I224/H224)</f>
        <v>-0.1761679884372741</v>
      </c>
      <c r="K224" s="735">
        <f>D224</f>
        <v>20496027.300481234</v>
      </c>
      <c r="L224" s="100"/>
    </row>
    <row r="225" spans="1:12" x14ac:dyDescent="0.25">
      <c r="A225" s="695" t="str">
        <f t="shared" si="73"/>
        <v>Nonelectric Energy</v>
      </c>
      <c r="B225" s="620"/>
      <c r="C225" s="733"/>
      <c r="D225" s="733">
        <v>0</v>
      </c>
      <c r="E225" s="733"/>
      <c r="F225" s="733"/>
      <c r="G225" s="733"/>
      <c r="H225" s="733">
        <f t="shared" si="72"/>
        <v>0</v>
      </c>
      <c r="I225" s="408">
        <f t="shared" si="41"/>
        <v>0</v>
      </c>
      <c r="J225" s="408" t="str">
        <f t="shared" si="42"/>
        <v/>
      </c>
      <c r="K225" s="735"/>
      <c r="L225" s="100"/>
    </row>
    <row r="226" spans="1:12" x14ac:dyDescent="0.25">
      <c r="A226" s="607" t="str">
        <f t="shared" si="73"/>
        <v>Water management</v>
      </c>
      <c r="B226" s="620"/>
      <c r="C226" s="611">
        <f t="shared" ref="C226:K226" si="74">SUM(C227:C229)</f>
        <v>0</v>
      </c>
      <c r="D226" s="611">
        <f t="shared" si="74"/>
        <v>0</v>
      </c>
      <c r="E226" s="611">
        <f t="shared" si="74"/>
        <v>0</v>
      </c>
      <c r="F226" s="611">
        <f t="shared" si="74"/>
        <v>119507658.77</v>
      </c>
      <c r="G226" s="611">
        <f t="shared" si="74"/>
        <v>133003270.61000003</v>
      </c>
      <c r="H226" s="611">
        <f t="shared" si="74"/>
        <v>0</v>
      </c>
      <c r="I226" s="611">
        <f t="shared" si="41"/>
        <v>133003270.61000003</v>
      </c>
      <c r="J226" s="611" t="e">
        <f t="shared" si="42"/>
        <v>#DIV/0!</v>
      </c>
      <c r="K226" s="614">
        <f t="shared" si="74"/>
        <v>0</v>
      </c>
      <c r="L226" s="100"/>
    </row>
    <row r="227" spans="1:12" x14ac:dyDescent="0.25">
      <c r="A227" s="695" t="str">
        <f t="shared" si="73"/>
        <v>Water Treatment</v>
      </c>
      <c r="B227" s="620"/>
      <c r="C227" s="733"/>
      <c r="D227" s="733"/>
      <c r="E227" s="733"/>
      <c r="F227" s="733"/>
      <c r="G227" s="733"/>
      <c r="H227" s="733"/>
      <c r="I227" s="408">
        <f t="shared" si="41"/>
        <v>0</v>
      </c>
      <c r="J227" s="408" t="str">
        <f t="shared" si="42"/>
        <v/>
      </c>
      <c r="K227" s="735"/>
      <c r="L227" s="100"/>
    </row>
    <row r="228" spans="1:12" x14ac:dyDescent="0.25">
      <c r="A228" s="695" t="str">
        <f t="shared" si="73"/>
        <v>Water Distribution</v>
      </c>
      <c r="B228" s="620"/>
      <c r="C228" s="733"/>
      <c r="D228" s="733"/>
      <c r="E228" s="733"/>
      <c r="F228" s="733">
        <v>119507658.77</v>
      </c>
      <c r="G228" s="733">
        <v>133003270.61000003</v>
      </c>
      <c r="H228" s="733"/>
      <c r="I228" s="408">
        <f>G228-H228</f>
        <v>133003270.61000003</v>
      </c>
      <c r="J228" s="408" t="e">
        <f>IF(I228=0,"",I228/H228)</f>
        <v>#DIV/0!</v>
      </c>
      <c r="K228" s="735"/>
      <c r="L228" s="100"/>
    </row>
    <row r="229" spans="1:12" x14ac:dyDescent="0.25">
      <c r="A229" s="695" t="str">
        <f t="shared" si="73"/>
        <v>Water Storage</v>
      </c>
      <c r="B229" s="620"/>
      <c r="C229" s="733"/>
      <c r="D229" s="733"/>
      <c r="E229" s="733"/>
      <c r="F229" s="733"/>
      <c r="G229" s="733"/>
      <c r="H229" s="733"/>
      <c r="I229" s="408">
        <f t="shared" si="41"/>
        <v>0</v>
      </c>
      <c r="J229" s="408" t="str">
        <f t="shared" si="42"/>
        <v/>
      </c>
      <c r="K229" s="735"/>
      <c r="L229" s="100"/>
    </row>
    <row r="230" spans="1:12" x14ac:dyDescent="0.25">
      <c r="A230" s="607" t="str">
        <f t="shared" si="73"/>
        <v>Waste water management</v>
      </c>
      <c r="B230" s="620"/>
      <c r="C230" s="611">
        <f t="shared" ref="C230:K230" si="75">SUM(C231:C234)</f>
        <v>0</v>
      </c>
      <c r="D230" s="611">
        <f t="shared" si="75"/>
        <v>931929869.0260967</v>
      </c>
      <c r="E230" s="611">
        <f t="shared" si="75"/>
        <v>0</v>
      </c>
      <c r="F230" s="611">
        <f t="shared" si="75"/>
        <v>35136356.430000007</v>
      </c>
      <c r="G230" s="611">
        <f t="shared" si="75"/>
        <v>38115192.210000001</v>
      </c>
      <c r="H230" s="611">
        <f t="shared" si="75"/>
        <v>155321644.83768278</v>
      </c>
      <c r="I230" s="611">
        <f t="shared" si="41"/>
        <v>-117206452.62768278</v>
      </c>
      <c r="J230" s="611">
        <f t="shared" si="42"/>
        <v>-0.75460476065758975</v>
      </c>
      <c r="K230" s="614">
        <f t="shared" si="75"/>
        <v>931929869.0260967</v>
      </c>
      <c r="L230" s="100"/>
    </row>
    <row r="231" spans="1:12" x14ac:dyDescent="0.25">
      <c r="A231" s="695" t="str">
        <f t="shared" si="73"/>
        <v>Public Toilets</v>
      </c>
      <c r="B231" s="620"/>
      <c r="C231" s="733"/>
      <c r="D231" s="733">
        <v>1325140.728374806</v>
      </c>
      <c r="E231" s="733"/>
      <c r="F231" s="733">
        <v>260613.02000000002</v>
      </c>
      <c r="G231" s="733">
        <v>459829.86</v>
      </c>
      <c r="H231" s="733">
        <f t="shared" ref="H231:H234" si="76">D231/12*2</f>
        <v>220856.78806246768</v>
      </c>
      <c r="I231" s="408">
        <f t="shared" si="41"/>
        <v>238973.07193753231</v>
      </c>
      <c r="J231" s="408">
        <f t="shared" si="42"/>
        <v>1.0820272903268908</v>
      </c>
      <c r="K231" s="735">
        <f>D231</f>
        <v>1325140.728374806</v>
      </c>
      <c r="L231" s="100"/>
    </row>
    <row r="232" spans="1:12" x14ac:dyDescent="0.25">
      <c r="A232" s="695" t="str">
        <f t="shared" si="73"/>
        <v>Sewerage</v>
      </c>
      <c r="B232" s="620"/>
      <c r="C232" s="733"/>
      <c r="D232" s="733">
        <v>225241153.38453153</v>
      </c>
      <c r="E232" s="733"/>
      <c r="F232" s="733">
        <v>32615226.640000004</v>
      </c>
      <c r="G232" s="733">
        <v>33324797.959999997</v>
      </c>
      <c r="H232" s="733">
        <f t="shared" si="76"/>
        <v>37540192.230755255</v>
      </c>
      <c r="I232" s="408">
        <f t="shared" si="41"/>
        <v>-4215394.2707552575</v>
      </c>
      <c r="J232" s="408">
        <f t="shared" si="42"/>
        <v>-0.11229016209729861</v>
      </c>
      <c r="K232" s="735">
        <f>D232</f>
        <v>225241153.38453153</v>
      </c>
      <c r="L232" s="100"/>
    </row>
    <row r="233" spans="1:12" x14ac:dyDescent="0.25">
      <c r="A233" s="695" t="str">
        <f t="shared" si="73"/>
        <v>Storm Water Management</v>
      </c>
      <c r="B233" s="620"/>
      <c r="C233" s="733"/>
      <c r="D233" s="733">
        <v>560143.7006000001</v>
      </c>
      <c r="E233" s="733"/>
      <c r="F233" s="733">
        <v>2260516.7699999996</v>
      </c>
      <c r="G233" s="733">
        <v>4330564.3899999997</v>
      </c>
      <c r="H233" s="733">
        <f t="shared" si="76"/>
        <v>93357.283433333345</v>
      </c>
      <c r="I233" s="408">
        <f>G233-H233</f>
        <v>4237207.1065666666</v>
      </c>
      <c r="J233" s="408">
        <f>IF(I233=0,"",I233/H233)</f>
        <v>45.387000893106176</v>
      </c>
      <c r="K233" s="735">
        <f>D233</f>
        <v>560143.7006000001</v>
      </c>
      <c r="L233" s="100"/>
    </row>
    <row r="234" spans="1:12" x14ac:dyDescent="0.25">
      <c r="A234" s="695" t="str">
        <f t="shared" si="73"/>
        <v>Waste Water Treatment</v>
      </c>
      <c r="B234" s="620"/>
      <c r="C234" s="733"/>
      <c r="D234" s="733">
        <v>704803431.21259034</v>
      </c>
      <c r="E234" s="733"/>
      <c r="F234" s="733"/>
      <c r="G234" s="733"/>
      <c r="H234" s="733">
        <f t="shared" si="76"/>
        <v>117467238.53543173</v>
      </c>
      <c r="I234" s="408">
        <f t="shared" si="41"/>
        <v>-117467238.53543173</v>
      </c>
      <c r="J234" s="408">
        <f t="shared" si="42"/>
        <v>-1</v>
      </c>
      <c r="K234" s="735">
        <f>D234</f>
        <v>704803431.21259034</v>
      </c>
      <c r="L234" s="100"/>
    </row>
    <row r="235" spans="1:12" x14ac:dyDescent="0.25">
      <c r="A235" s="607" t="str">
        <f t="shared" si="73"/>
        <v>Waste management</v>
      </c>
      <c r="B235" s="620"/>
      <c r="C235" s="611">
        <f t="shared" ref="C235:H235" si="77">SUM(C236:C239)</f>
        <v>0</v>
      </c>
      <c r="D235" s="611">
        <f t="shared" si="77"/>
        <v>129784404.92762612</v>
      </c>
      <c r="E235" s="611">
        <f t="shared" si="77"/>
        <v>0</v>
      </c>
      <c r="F235" s="611">
        <f t="shared" si="77"/>
        <v>8064968.6199999992</v>
      </c>
      <c r="G235" s="611">
        <f t="shared" si="77"/>
        <v>15586254.950000003</v>
      </c>
      <c r="H235" s="611">
        <f t="shared" si="77"/>
        <v>21630734.154604353</v>
      </c>
      <c r="I235" s="611">
        <f t="shared" si="41"/>
        <v>-6044479.20460435</v>
      </c>
      <c r="J235" s="611">
        <f t="shared" si="42"/>
        <v>-0.27943939218159697</v>
      </c>
      <c r="K235" s="611">
        <f>SUM(K236:K239)</f>
        <v>129784404.92762612</v>
      </c>
      <c r="L235" s="100"/>
    </row>
    <row r="236" spans="1:12" x14ac:dyDescent="0.25">
      <c r="A236" s="695" t="str">
        <f t="shared" si="73"/>
        <v>Recycling</v>
      </c>
      <c r="B236" s="620"/>
      <c r="C236" s="733"/>
      <c r="D236" s="733"/>
      <c r="E236" s="733"/>
      <c r="F236" s="733"/>
      <c r="G236" s="733"/>
      <c r="H236" s="733">
        <f t="shared" ref="H236:H239" si="78">D236/12*2</f>
        <v>0</v>
      </c>
      <c r="I236" s="408">
        <f>G236-H236</f>
        <v>0</v>
      </c>
      <c r="J236" s="408" t="str">
        <f>IF(I236=0,"",I236/H236)</f>
        <v/>
      </c>
      <c r="K236" s="735"/>
      <c r="L236" s="100"/>
    </row>
    <row r="237" spans="1:12" x14ac:dyDescent="0.25">
      <c r="A237" s="695" t="str">
        <f t="shared" si="73"/>
        <v>Solid Waste Disposal (Landfill Sites)</v>
      </c>
      <c r="B237" s="620"/>
      <c r="C237" s="733"/>
      <c r="D237" s="733">
        <v>13353688.704158884</v>
      </c>
      <c r="E237" s="733"/>
      <c r="F237" s="733">
        <v>1645055.0800000003</v>
      </c>
      <c r="G237" s="733">
        <v>2104802.9400000004</v>
      </c>
      <c r="H237" s="733">
        <f t="shared" si="78"/>
        <v>2225614.7840264807</v>
      </c>
      <c r="I237" s="408">
        <f>G237-H237</f>
        <v>-120811.84402648034</v>
      </c>
      <c r="J237" s="408">
        <f>IF(I237=0,"",I237/H237)</f>
        <v>-5.4282459342722848E-2</v>
      </c>
      <c r="K237" s="735">
        <f>D237</f>
        <v>13353688.704158884</v>
      </c>
      <c r="L237" s="100"/>
    </row>
    <row r="238" spans="1:12" x14ac:dyDescent="0.25">
      <c r="A238" s="695" t="str">
        <f t="shared" si="73"/>
        <v>Solid Waste Removal</v>
      </c>
      <c r="B238" s="620"/>
      <c r="C238" s="733"/>
      <c r="D238" s="733">
        <v>116430716.22346723</v>
      </c>
      <c r="E238" s="733"/>
      <c r="F238" s="733">
        <v>6419913.5399999991</v>
      </c>
      <c r="G238" s="733">
        <v>13481452.010000002</v>
      </c>
      <c r="H238" s="733">
        <f t="shared" si="78"/>
        <v>19405119.370577872</v>
      </c>
      <c r="I238" s="408">
        <f>G238-H238</f>
        <v>-5923667.3605778702</v>
      </c>
      <c r="J238" s="408">
        <f>IF(I238=0,"",I238/H238)</f>
        <v>-0.30526312399599875</v>
      </c>
      <c r="K238" s="735">
        <f>D238</f>
        <v>116430716.22346723</v>
      </c>
      <c r="L238" s="100"/>
    </row>
    <row r="239" spans="1:12" x14ac:dyDescent="0.25">
      <c r="A239" s="695" t="str">
        <f t="shared" si="73"/>
        <v>Street Cleaning</v>
      </c>
      <c r="B239" s="415"/>
      <c r="C239" s="733"/>
      <c r="D239" s="733"/>
      <c r="E239" s="733"/>
      <c r="F239" s="733"/>
      <c r="G239" s="733"/>
      <c r="H239" s="733">
        <f t="shared" si="78"/>
        <v>0</v>
      </c>
      <c r="I239" s="408">
        <f t="shared" si="41"/>
        <v>0</v>
      </c>
      <c r="J239" s="408" t="str">
        <f t="shared" si="42"/>
        <v/>
      </c>
      <c r="K239" s="735"/>
      <c r="L239" s="100"/>
    </row>
    <row r="240" spans="1:12" x14ac:dyDescent="0.25">
      <c r="A240" s="414" t="str">
        <f t="shared" si="73"/>
        <v>Other</v>
      </c>
      <c r="B240" s="415"/>
      <c r="C240" s="611">
        <f t="shared" ref="C240:K240" si="79">SUM(C241:C246)</f>
        <v>0</v>
      </c>
      <c r="D240" s="611">
        <f t="shared" si="79"/>
        <v>81300979.882271051</v>
      </c>
      <c r="E240" s="611">
        <f t="shared" si="79"/>
        <v>0</v>
      </c>
      <c r="F240" s="611">
        <f t="shared" si="79"/>
        <v>4914564.4499999993</v>
      </c>
      <c r="G240" s="611">
        <f t="shared" si="79"/>
        <v>8400109.5100000016</v>
      </c>
      <c r="H240" s="611">
        <f t="shared" si="79"/>
        <v>13550163.313711844</v>
      </c>
      <c r="I240" s="611">
        <f t="shared" si="41"/>
        <v>-5150053.8037118427</v>
      </c>
      <c r="J240" s="611">
        <f t="shared" si="42"/>
        <v>-0.38007319059397154</v>
      </c>
      <c r="K240" s="614">
        <f t="shared" si="79"/>
        <v>81300979.882271051</v>
      </c>
      <c r="L240" s="100"/>
    </row>
    <row r="241" spans="1:12" x14ac:dyDescent="0.25">
      <c r="A241" s="607" t="str">
        <f t="shared" si="73"/>
        <v>Abattoirs</v>
      </c>
      <c r="B241" s="415"/>
      <c r="C241" s="733"/>
      <c r="D241" s="733"/>
      <c r="E241" s="733"/>
      <c r="F241" s="733"/>
      <c r="G241" s="733"/>
      <c r="H241" s="733">
        <f t="shared" ref="H241:H246" si="80">D241/12*2</f>
        <v>0</v>
      </c>
      <c r="I241" s="408">
        <f t="shared" si="41"/>
        <v>0</v>
      </c>
      <c r="J241" s="408" t="str">
        <f t="shared" si="42"/>
        <v/>
      </c>
      <c r="K241" s="735"/>
      <c r="L241" s="100"/>
    </row>
    <row r="242" spans="1:12" x14ac:dyDescent="0.25">
      <c r="A242" s="607" t="str">
        <f t="shared" si="73"/>
        <v>Air Transport</v>
      </c>
      <c r="B242" s="415"/>
      <c r="C242" s="733"/>
      <c r="D242" s="733">
        <v>30392698.58867228</v>
      </c>
      <c r="E242" s="733"/>
      <c r="F242" s="733">
        <v>2223454.6900000004</v>
      </c>
      <c r="G242" s="733">
        <v>3305487.5599999996</v>
      </c>
      <c r="H242" s="733">
        <f t="shared" si="80"/>
        <v>5065449.7647787137</v>
      </c>
      <c r="I242" s="408">
        <f t="shared" si="41"/>
        <v>-1759962.2047787141</v>
      </c>
      <c r="J242" s="408">
        <f t="shared" si="42"/>
        <v>-0.34744440997444159</v>
      </c>
      <c r="K242" s="735">
        <f>D242</f>
        <v>30392698.58867228</v>
      </c>
      <c r="L242" s="100"/>
    </row>
    <row r="243" spans="1:12" x14ac:dyDescent="0.25">
      <c r="A243" s="607" t="str">
        <f t="shared" si="73"/>
        <v xml:space="preserve">Forestry </v>
      </c>
      <c r="B243" s="415"/>
      <c r="C243" s="733"/>
      <c r="D243" s="733">
        <v>5026381.4873491293</v>
      </c>
      <c r="E243" s="733"/>
      <c r="F243" s="733">
        <v>8526.75</v>
      </c>
      <c r="G243" s="733">
        <v>-38027.440000000002</v>
      </c>
      <c r="H243" s="733">
        <f t="shared" si="80"/>
        <v>837730.24789152155</v>
      </c>
      <c r="I243" s="408">
        <f>G243-H243</f>
        <v>-875757.68789152149</v>
      </c>
      <c r="J243" s="408">
        <f>IF(I243=0,"",I243/H243)</f>
        <v>-1.0453934188191378</v>
      </c>
      <c r="K243" s="735">
        <f>D243</f>
        <v>5026381.4873491293</v>
      </c>
      <c r="L243" s="100"/>
    </row>
    <row r="244" spans="1:12" x14ac:dyDescent="0.25">
      <c r="A244" s="607" t="str">
        <f t="shared" si="73"/>
        <v>Licensing and Regulation</v>
      </c>
      <c r="B244" s="415"/>
      <c r="C244" s="733"/>
      <c r="D244" s="733">
        <v>10803274.511466645</v>
      </c>
      <c r="E244" s="733"/>
      <c r="F244" s="733">
        <v>343794.31999999995</v>
      </c>
      <c r="G244" s="733">
        <v>673478.25</v>
      </c>
      <c r="H244" s="733">
        <f t="shared" si="80"/>
        <v>1800545.7519111075</v>
      </c>
      <c r="I244" s="408">
        <f t="shared" si="41"/>
        <v>-1127067.5019111075</v>
      </c>
      <c r="J244" s="408">
        <f t="shared" si="42"/>
        <v>-0.62595882427027072</v>
      </c>
      <c r="K244" s="735">
        <f>D244</f>
        <v>10803274.511466645</v>
      </c>
      <c r="L244" s="100"/>
    </row>
    <row r="245" spans="1:12" x14ac:dyDescent="0.25">
      <c r="A245" s="607" t="str">
        <f t="shared" si="73"/>
        <v>Markets</v>
      </c>
      <c r="B245" s="415"/>
      <c r="C245" s="733"/>
      <c r="D245" s="733">
        <v>32893514.314352129</v>
      </c>
      <c r="E245" s="733"/>
      <c r="F245" s="733">
        <v>1933765.17</v>
      </c>
      <c r="G245" s="733">
        <v>4026150.2500000009</v>
      </c>
      <c r="H245" s="733">
        <f t="shared" si="80"/>
        <v>5482252.3857253548</v>
      </c>
      <c r="I245" s="408">
        <f>G245-H245</f>
        <v>-1456102.1357253538</v>
      </c>
      <c r="J245" s="408">
        <f>IF(I245=0,"",I245/H245)</f>
        <v>-0.26560290064659209</v>
      </c>
      <c r="K245" s="735">
        <f>D245</f>
        <v>32893514.314352129</v>
      </c>
      <c r="L245" s="100"/>
    </row>
    <row r="246" spans="1:12" x14ac:dyDescent="0.25">
      <c r="A246" s="607" t="str">
        <f t="shared" si="73"/>
        <v>Tourism</v>
      </c>
      <c r="B246" s="415"/>
      <c r="C246" s="733"/>
      <c r="D246" s="733">
        <v>2185110.9804308736</v>
      </c>
      <c r="E246" s="733"/>
      <c r="F246" s="733">
        <v>405023.51999999996</v>
      </c>
      <c r="G246" s="733">
        <v>433020.88999999996</v>
      </c>
      <c r="H246" s="733">
        <f t="shared" si="80"/>
        <v>364185.16340514558</v>
      </c>
      <c r="I246" s="408">
        <f>G246-H246</f>
        <v>68835.726594854379</v>
      </c>
      <c r="J246" s="408">
        <f>IF(I246=0,"",I246/H246)</f>
        <v>0.18901298985174914</v>
      </c>
      <c r="K246" s="735">
        <f>D246</f>
        <v>2185110.9804308736</v>
      </c>
      <c r="L246" s="100"/>
    </row>
    <row r="247" spans="1:12" x14ac:dyDescent="0.25">
      <c r="A247" s="615" t="str">
        <f>"Total "&amp;A127</f>
        <v>Total Expenditure - Functional</v>
      </c>
      <c r="B247" s="415">
        <v>3</v>
      </c>
      <c r="C247" s="545">
        <f t="shared" ref="C247:I247" si="81">C128+C148+C197+C221+C240</f>
        <v>0</v>
      </c>
      <c r="D247" s="545">
        <f t="shared" si="81"/>
        <v>5516853313.5446301</v>
      </c>
      <c r="E247" s="545">
        <f t="shared" si="81"/>
        <v>0</v>
      </c>
      <c r="F247" s="545">
        <f t="shared" si="81"/>
        <v>581114977.29999995</v>
      </c>
      <c r="G247" s="545">
        <f t="shared" si="81"/>
        <v>736047932.21999979</v>
      </c>
      <c r="H247" s="545">
        <f t="shared" si="81"/>
        <v>919475552.25743842</v>
      </c>
      <c r="I247" s="545">
        <f t="shared" si="81"/>
        <v>-183427620.03743851</v>
      </c>
      <c r="J247" s="545">
        <f>IF(I247=0,"",I247/H247)</f>
        <v>-0.19949156841320967</v>
      </c>
      <c r="K247" s="597">
        <f>K128+K148+K197+K221+K240</f>
        <v>5516853313.5446301</v>
      </c>
      <c r="L247" s="100"/>
    </row>
    <row r="248" spans="1:12" x14ac:dyDescent="0.25">
      <c r="A248" s="621" t="str">
        <f>result</f>
        <v>Surplus/ (Deficit) for the year</v>
      </c>
      <c r="B248" s="622"/>
      <c r="C248" s="76">
        <f t="shared" ref="C248:H248" si="82">C125-C247</f>
        <v>0</v>
      </c>
      <c r="D248" s="76">
        <f t="shared" si="82"/>
        <v>927224369.32743168</v>
      </c>
      <c r="E248" s="76">
        <f t="shared" si="82"/>
        <v>0</v>
      </c>
      <c r="F248" s="76">
        <f t="shared" si="82"/>
        <v>129949569.1099999</v>
      </c>
      <c r="G248" s="76">
        <f t="shared" si="82"/>
        <v>394169569.29999995</v>
      </c>
      <c r="H248" s="76">
        <f t="shared" si="82"/>
        <v>154537394.88790512</v>
      </c>
      <c r="I248" s="634">
        <f>G248-H248</f>
        <v>239632174.41209483</v>
      </c>
      <c r="J248" s="634">
        <f>IF(I248=0,"",I248/H248)</f>
        <v>1.5506419956536337</v>
      </c>
      <c r="K248" s="234">
        <f>K125-K247</f>
        <v>927224369.32743168</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62640.66666674614</v>
      </c>
      <c r="I256" s="628">
        <f>I125-'C4-FinPerf RE'!I53</f>
        <v>56204554.3746562</v>
      </c>
      <c r="J256" s="629"/>
      <c r="K256" s="628">
        <f>K125-'C4-FinPerf RE'!K53</f>
        <v>375844</v>
      </c>
    </row>
    <row r="257" spans="1:11" x14ac:dyDescent="0.25">
      <c r="A257" s="81" t="s">
        <v>179</v>
      </c>
      <c r="B257" s="64"/>
      <c r="C257" s="628">
        <f>C247-'C4-FinPerf RE'!C36</f>
        <v>0</v>
      </c>
      <c r="D257" s="628">
        <f>D247-'C4-FinPerf RE'!D36</f>
        <v>375844.00000190735</v>
      </c>
      <c r="E257" s="628">
        <f>E247-'C4-FinPerf RE'!E36</f>
        <v>0</v>
      </c>
      <c r="F257" s="628">
        <f>F247-'C4-FinPerf RE'!F36</f>
        <v>0</v>
      </c>
      <c r="G257" s="628">
        <f>G247-'C4-FinPerf RE'!G36</f>
        <v>0</v>
      </c>
      <c r="H257" s="628">
        <f>H247-'C4-FinPerf RE'!H36</f>
        <v>62640.666667103767</v>
      </c>
      <c r="I257" s="628">
        <f>I247-'C4-FinPerf RE'!I36</f>
        <v>-62640.666666984558</v>
      </c>
      <c r="J257" s="629"/>
      <c r="K257" s="628">
        <f>K247-'C4-FinPerf RE'!K36</f>
        <v>375844.00000190735</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2016-12-13T05:59:10Z</cp:lastPrinted>
  <dcterms:created xsi:type="dcterms:W3CDTF">2004-04-07T16:19:08Z</dcterms:created>
  <dcterms:modified xsi:type="dcterms:W3CDTF">2020-09-10T13:44:09Z</dcterms:modified>
</cp:coreProperties>
</file>